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<sst xmlns="http://schemas.openxmlformats.org/spreadsheetml/2006/main" count="6781" uniqueCount="2287">
  <si>
    <t>Word</t>
  </si>
  <si>
    <t>Part of Speech</t>
  </si>
  <si>
    <t>Word Level</t>
  </si>
  <si>
    <t>翻译（Google）</t>
  </si>
  <si>
    <t>an</t>
  </si>
  <si>
    <t>article</t>
  </si>
  <si>
    <t>A1</t>
  </si>
  <si>
    <t>agreement</t>
  </si>
  <si>
    <t>n.</t>
  </si>
  <si>
    <t>B1</t>
  </si>
  <si>
    <t>appointment</t>
  </si>
  <si>
    <t>abandon</t>
  </si>
  <si>
    <t>v.</t>
  </si>
  <si>
    <t>B2</t>
  </si>
  <si>
    <t>ah</t>
  </si>
  <si>
    <t>exclam.</t>
  </si>
  <si>
    <t>A2</t>
  </si>
  <si>
    <t>appreciate</t>
  </si>
  <si>
    <t>ability</t>
  </si>
  <si>
    <t>ahead</t>
  </si>
  <si>
    <t>adv.</t>
  </si>
  <si>
    <t>able</t>
  </si>
  <si>
    <t>adj.</t>
  </si>
  <si>
    <t>appropriate</t>
  </si>
  <si>
    <t>approval</t>
  </si>
  <si>
    <t>air</t>
  </si>
  <si>
    <t>approve</t>
  </si>
  <si>
    <t>abroad</t>
  </si>
  <si>
    <t>aircraft</t>
  </si>
  <si>
    <t>approximately</t>
  </si>
  <si>
    <t>absolute</t>
  </si>
  <si>
    <t>airline</t>
  </si>
  <si>
    <t>April</t>
  </si>
  <si>
    <t>absolutely</t>
  </si>
  <si>
    <t>airport</t>
  </si>
  <si>
    <t>architect</t>
  </si>
  <si>
    <t>architecture</t>
  </si>
  <si>
    <t>accept</t>
  </si>
  <si>
    <t>album</t>
  </si>
  <si>
    <t>area</t>
  </si>
  <si>
    <t>acceptable</t>
  </si>
  <si>
    <t>alcohol</t>
  </si>
  <si>
    <t>argue</t>
  </si>
  <si>
    <t>alcoholic</t>
  </si>
  <si>
    <t>argument</t>
  </si>
  <si>
    <t>accident</t>
  </si>
  <si>
    <t>alive</t>
  </si>
  <si>
    <t>arise</t>
  </si>
  <si>
    <t>accommodation</t>
  </si>
  <si>
    <t>arm</t>
  </si>
  <si>
    <t>accompany</t>
  </si>
  <si>
    <t>armed</t>
  </si>
  <si>
    <t>allow</t>
  </si>
  <si>
    <t>arms</t>
  </si>
  <si>
    <t>almost</t>
  </si>
  <si>
    <t>army</t>
  </si>
  <si>
    <t>accurate</t>
  </si>
  <si>
    <t>alone</t>
  </si>
  <si>
    <t>adj./adv.</t>
  </si>
  <si>
    <t>accuse</t>
  </si>
  <si>
    <t>arrange</t>
  </si>
  <si>
    <t>achieve</t>
  </si>
  <si>
    <t>already</t>
  </si>
  <si>
    <t>arrangement</t>
  </si>
  <si>
    <t>achievement</t>
  </si>
  <si>
    <t>also</t>
  </si>
  <si>
    <t>acknowledge</t>
  </si>
  <si>
    <t>alter</t>
  </si>
  <si>
    <t>arrival</t>
  </si>
  <si>
    <t>acquire</t>
  </si>
  <si>
    <t>arrive</t>
  </si>
  <si>
    <t>although</t>
  </si>
  <si>
    <t>conj.</t>
  </si>
  <si>
    <t>art</t>
  </si>
  <si>
    <t>always</t>
  </si>
  <si>
    <t>action</t>
  </si>
  <si>
    <t>amazed</t>
  </si>
  <si>
    <t>artificial</t>
  </si>
  <si>
    <t>active</t>
  </si>
  <si>
    <t>amazing</t>
  </si>
  <si>
    <t>artist</t>
  </si>
  <si>
    <t>activity</t>
  </si>
  <si>
    <t>ambition</t>
  </si>
  <si>
    <t>artistic</t>
  </si>
  <si>
    <t>actor</t>
  </si>
  <si>
    <t>ambitious</t>
  </si>
  <si>
    <t>actress</t>
  </si>
  <si>
    <t>among</t>
  </si>
  <si>
    <t>prep.</t>
  </si>
  <si>
    <t>ashamed</t>
  </si>
  <si>
    <t>actual</t>
  </si>
  <si>
    <t>ask</t>
  </si>
  <si>
    <t>actually</t>
  </si>
  <si>
    <t>analyse</t>
  </si>
  <si>
    <t>asleep</t>
  </si>
  <si>
    <t>ad</t>
  </si>
  <si>
    <t>analysis</t>
  </si>
  <si>
    <t>aspect</t>
  </si>
  <si>
    <t>adapt</t>
  </si>
  <si>
    <t>ancient</t>
  </si>
  <si>
    <t>assess</t>
  </si>
  <si>
    <t>add</t>
  </si>
  <si>
    <t>and</t>
  </si>
  <si>
    <t>assessment</t>
  </si>
  <si>
    <t>addition</t>
  </si>
  <si>
    <t>anger</t>
  </si>
  <si>
    <t>assignment</t>
  </si>
  <si>
    <t>additional</t>
  </si>
  <si>
    <t>angle</t>
  </si>
  <si>
    <t>assist</t>
  </si>
  <si>
    <t>angry</t>
  </si>
  <si>
    <t>administration</t>
  </si>
  <si>
    <t>animal</t>
  </si>
  <si>
    <t>associate</t>
  </si>
  <si>
    <t>admire</t>
  </si>
  <si>
    <t>ankle</t>
  </si>
  <si>
    <t>associated</t>
  </si>
  <si>
    <t>admit</t>
  </si>
  <si>
    <t>anniversary</t>
  </si>
  <si>
    <t>association</t>
  </si>
  <si>
    <t>adopt</t>
  </si>
  <si>
    <t>announce</t>
  </si>
  <si>
    <t>assume</t>
  </si>
  <si>
    <t>announcement</t>
  </si>
  <si>
    <t>at</t>
  </si>
  <si>
    <t>annoy</t>
  </si>
  <si>
    <t>athlete</t>
  </si>
  <si>
    <t>advanced</t>
  </si>
  <si>
    <t>annoyed</t>
  </si>
  <si>
    <t>atmosphere</t>
  </si>
  <si>
    <t>advantage</t>
  </si>
  <si>
    <t>annoying</t>
  </si>
  <si>
    <t>attach</t>
  </si>
  <si>
    <t>adventure</t>
  </si>
  <si>
    <t>annual</t>
  </si>
  <si>
    <t>advertise</t>
  </si>
  <si>
    <t>another</t>
  </si>
  <si>
    <t>det./pron.</t>
  </si>
  <si>
    <t>advertisement</t>
  </si>
  <si>
    <t>attend</t>
  </si>
  <si>
    <t>advertising</t>
  </si>
  <si>
    <t>anxious</t>
  </si>
  <si>
    <t>advice</t>
  </si>
  <si>
    <t>attitude</t>
  </si>
  <si>
    <t>advise</t>
  </si>
  <si>
    <t>anybody</t>
  </si>
  <si>
    <t>pron.</t>
  </si>
  <si>
    <t>attract</t>
  </si>
  <si>
    <t>affair</t>
  </si>
  <si>
    <t>attraction</t>
  </si>
  <si>
    <t>affect</t>
  </si>
  <si>
    <t>anyone</t>
  </si>
  <si>
    <t>attractive</t>
  </si>
  <si>
    <t>afford</t>
  </si>
  <si>
    <t>anything</t>
  </si>
  <si>
    <t>audience</t>
  </si>
  <si>
    <t>afraid</t>
  </si>
  <si>
    <t>anyway</t>
  </si>
  <si>
    <t>August</t>
  </si>
  <si>
    <t>aunt</t>
  </si>
  <si>
    <t>afternoon</t>
  </si>
  <si>
    <t>apart</t>
  </si>
  <si>
    <t>author</t>
  </si>
  <si>
    <t>afterwards</t>
  </si>
  <si>
    <t>apartment</t>
  </si>
  <si>
    <t>authority</t>
  </si>
  <si>
    <t>again</t>
  </si>
  <si>
    <t>apologize</t>
  </si>
  <si>
    <t>autumn</t>
  </si>
  <si>
    <t>against</t>
  </si>
  <si>
    <t>app</t>
  </si>
  <si>
    <t>available</t>
  </si>
  <si>
    <t>apparent</t>
  </si>
  <si>
    <t>aged</t>
  </si>
  <si>
    <t>apparently</t>
  </si>
  <si>
    <t>avoid</t>
  </si>
  <si>
    <t>agency</t>
  </si>
  <si>
    <t>agenda</t>
  </si>
  <si>
    <t>appear</t>
  </si>
  <si>
    <t>aware</t>
  </si>
  <si>
    <t>agent</t>
  </si>
  <si>
    <t>appearance</t>
  </si>
  <si>
    <t>away</t>
  </si>
  <si>
    <t>aggressive</t>
  </si>
  <si>
    <t>apple</t>
  </si>
  <si>
    <t>awful</t>
  </si>
  <si>
    <t>ago</t>
  </si>
  <si>
    <t>application</t>
  </si>
  <si>
    <t>agree</t>
  </si>
  <si>
    <t>apply</t>
  </si>
  <si>
    <t>baby</t>
  </si>
  <si>
    <t>belief</t>
  </si>
  <si>
    <t>boss</t>
  </si>
  <si>
    <t>believe</t>
  </si>
  <si>
    <t>both</t>
  </si>
  <si>
    <t>background</t>
  </si>
  <si>
    <t>bell</t>
  </si>
  <si>
    <t>bother</t>
  </si>
  <si>
    <t>backwards</t>
  </si>
  <si>
    <t>belong</t>
  </si>
  <si>
    <t>bottle</t>
  </si>
  <si>
    <t>bacteria</t>
  </si>
  <si>
    <t>bad</t>
  </si>
  <si>
    <t>belt</t>
  </si>
  <si>
    <t>bowl</t>
  </si>
  <si>
    <t>badly</t>
  </si>
  <si>
    <t>box</t>
  </si>
  <si>
    <t>bag</t>
  </si>
  <si>
    <t>boy</t>
  </si>
  <si>
    <t>bake</t>
  </si>
  <si>
    <t>bent</t>
  </si>
  <si>
    <t>boyfriend</t>
  </si>
  <si>
    <t>brain</t>
  </si>
  <si>
    <t>ball</t>
  </si>
  <si>
    <t>branch</t>
  </si>
  <si>
    <t>banana</t>
  </si>
  <si>
    <t>brave</t>
  </si>
  <si>
    <t>band</t>
  </si>
  <si>
    <t>bread</t>
  </si>
  <si>
    <t>bicycle</t>
  </si>
  <si>
    <t>big</t>
  </si>
  <si>
    <t>breakfast</t>
  </si>
  <si>
    <t>bike</t>
  </si>
  <si>
    <t>breast</t>
  </si>
  <si>
    <t>barrier</t>
  </si>
  <si>
    <t>breath</t>
  </si>
  <si>
    <t>billion</t>
  </si>
  <si>
    <t>number</t>
  </si>
  <si>
    <t>breathe</t>
  </si>
  <si>
    <t>baseball</t>
  </si>
  <si>
    <t>bin</t>
  </si>
  <si>
    <t>breathing</t>
  </si>
  <si>
    <t>based</t>
  </si>
  <si>
    <t>biology</t>
  </si>
  <si>
    <t>bride</t>
  </si>
  <si>
    <t>basic</t>
  </si>
  <si>
    <t>bird</t>
  </si>
  <si>
    <t>bridge</t>
  </si>
  <si>
    <t>basically</t>
  </si>
  <si>
    <t>birth</t>
  </si>
  <si>
    <t>brief</t>
  </si>
  <si>
    <t>basis</t>
  </si>
  <si>
    <t>birthday</t>
  </si>
  <si>
    <t>bright</t>
  </si>
  <si>
    <t>basketball</t>
  </si>
  <si>
    <t>biscuit</t>
  </si>
  <si>
    <t>brilliant</t>
  </si>
  <si>
    <t>bath</t>
  </si>
  <si>
    <t>bit</t>
  </si>
  <si>
    <t>bring</t>
  </si>
  <si>
    <t>bathroom</t>
  </si>
  <si>
    <t>broad</t>
  </si>
  <si>
    <t>battery</t>
  </si>
  <si>
    <t>bitter</t>
  </si>
  <si>
    <t>broken</t>
  </si>
  <si>
    <t>brother</t>
  </si>
  <si>
    <t>beach</t>
  </si>
  <si>
    <t>bean</t>
  </si>
  <si>
    <t>blind</t>
  </si>
  <si>
    <t>bubble</t>
  </si>
  <si>
    <t>blog</t>
  </si>
  <si>
    <t>budget</t>
  </si>
  <si>
    <t>blonde</t>
  </si>
  <si>
    <t>build</t>
  </si>
  <si>
    <t>beautiful</t>
  </si>
  <si>
    <t>blood</t>
  </si>
  <si>
    <t>building</t>
  </si>
  <si>
    <t>beauty</t>
  </si>
  <si>
    <t>blow</t>
  </si>
  <si>
    <t>bullet</t>
  </si>
  <si>
    <t>because</t>
  </si>
  <si>
    <t>bunch</t>
  </si>
  <si>
    <t>become</t>
  </si>
  <si>
    <t>bed</t>
  </si>
  <si>
    <t>boat</t>
  </si>
  <si>
    <t>bury</t>
  </si>
  <si>
    <t>bedroom</t>
  </si>
  <si>
    <t>body</t>
  </si>
  <si>
    <t>bus</t>
  </si>
  <si>
    <t>bee</t>
  </si>
  <si>
    <t>boil</t>
  </si>
  <si>
    <t>bush</t>
  </si>
  <si>
    <t>beef</t>
  </si>
  <si>
    <t>business</t>
  </si>
  <si>
    <t>beer</t>
  </si>
  <si>
    <t>bond</t>
  </si>
  <si>
    <t>businessman</t>
  </si>
  <si>
    <t>bone</t>
  </si>
  <si>
    <t>busy</t>
  </si>
  <si>
    <t>beg</t>
  </si>
  <si>
    <t>begin</t>
  </si>
  <si>
    <t>boot</t>
  </si>
  <si>
    <t>butter</t>
  </si>
  <si>
    <t>beginning</t>
  </si>
  <si>
    <t>button</t>
  </si>
  <si>
    <t>behave</t>
  </si>
  <si>
    <t>bored</t>
  </si>
  <si>
    <t>buy</t>
  </si>
  <si>
    <t>behaviour</t>
  </si>
  <si>
    <t>boring</t>
  </si>
  <si>
    <t>born</t>
  </si>
  <si>
    <t>bye</t>
  </si>
  <si>
    <t>being</t>
  </si>
  <si>
    <t>borrow</t>
  </si>
  <si>
    <t>cable</t>
  </si>
  <si>
    <t>consist</t>
  </si>
  <si>
    <t>cafe</t>
  </si>
  <si>
    <t>classical</t>
  </si>
  <si>
    <t>consistent</t>
  </si>
  <si>
    <t>cake</t>
  </si>
  <si>
    <t>classroom</t>
  </si>
  <si>
    <t>constant</t>
  </si>
  <si>
    <t>calculate</t>
  </si>
  <si>
    <t>clause</t>
  </si>
  <si>
    <t>constantly</t>
  </si>
  <si>
    <t>construct</t>
  </si>
  <si>
    <t>construction</t>
  </si>
  <si>
    <t>camera</t>
  </si>
  <si>
    <t>clearly</t>
  </si>
  <si>
    <t>consume</t>
  </si>
  <si>
    <t>clever</t>
  </si>
  <si>
    <t>consumer</t>
  </si>
  <si>
    <t>camping</t>
  </si>
  <si>
    <t>client</t>
  </si>
  <si>
    <t>contain</t>
  </si>
  <si>
    <t>campus</t>
  </si>
  <si>
    <t>climate</t>
  </si>
  <si>
    <t>container</t>
  </si>
  <si>
    <t>contemporary</t>
  </si>
  <si>
    <t>can^2</t>
  </si>
  <si>
    <t>clock</t>
  </si>
  <si>
    <t>content1</t>
  </si>
  <si>
    <t>cancel</t>
  </si>
  <si>
    <t>cancer</t>
  </si>
  <si>
    <t>context</t>
  </si>
  <si>
    <t>candidate</t>
  </si>
  <si>
    <t>closed</t>
  </si>
  <si>
    <t>continent</t>
  </si>
  <si>
    <t>cannot</t>
  </si>
  <si>
    <t>closely</t>
  </si>
  <si>
    <t>continue</t>
  </si>
  <si>
    <t>cap</t>
  </si>
  <si>
    <t>cloth</t>
  </si>
  <si>
    <t>continuous</t>
  </si>
  <si>
    <t>capable</t>
  </si>
  <si>
    <t>clothes</t>
  </si>
  <si>
    <t>capacity</t>
  </si>
  <si>
    <t>clothing</t>
  </si>
  <si>
    <t>cloud</t>
  </si>
  <si>
    <t>contribute</t>
  </si>
  <si>
    <t>captain</t>
  </si>
  <si>
    <t>club</t>
  </si>
  <si>
    <t>contribution</t>
  </si>
  <si>
    <t>clue</t>
  </si>
  <si>
    <t>car</t>
  </si>
  <si>
    <t>convenient</t>
  </si>
  <si>
    <t>card</t>
  </si>
  <si>
    <t>coal</t>
  </si>
  <si>
    <t>conversation</t>
  </si>
  <si>
    <t>coast</t>
  </si>
  <si>
    <t>convert</t>
  </si>
  <si>
    <t>career</t>
  </si>
  <si>
    <t>coat</t>
  </si>
  <si>
    <t>convince</t>
  </si>
  <si>
    <t>careful</t>
  </si>
  <si>
    <t>code</t>
  </si>
  <si>
    <t>convinced</t>
  </si>
  <si>
    <t>carefully</t>
  </si>
  <si>
    <t>coffee</t>
  </si>
  <si>
    <t>careless</t>
  </si>
  <si>
    <t>coin</t>
  </si>
  <si>
    <t>cooker</t>
  </si>
  <si>
    <t>carpet</t>
  </si>
  <si>
    <t>cooking</t>
  </si>
  <si>
    <t>carrot</t>
  </si>
  <si>
    <t>carry</t>
  </si>
  <si>
    <t>colleague</t>
  </si>
  <si>
    <t>cartoon</t>
  </si>
  <si>
    <t>collect</t>
  </si>
  <si>
    <t>case</t>
  </si>
  <si>
    <t>collection</t>
  </si>
  <si>
    <t>corner</t>
  </si>
  <si>
    <t>cash</t>
  </si>
  <si>
    <t>college</t>
  </si>
  <si>
    <t>corporate</t>
  </si>
  <si>
    <t>colour</t>
  </si>
  <si>
    <t>castle</t>
  </si>
  <si>
    <t>coloured</t>
  </si>
  <si>
    <t>correctly</t>
  </si>
  <si>
    <t>cat</t>
  </si>
  <si>
    <t>column</t>
  </si>
  <si>
    <t>combination</t>
  </si>
  <si>
    <t>costume</t>
  </si>
  <si>
    <t>category</t>
  </si>
  <si>
    <t>combine</t>
  </si>
  <si>
    <t>cottage</t>
  </si>
  <si>
    <t>come</t>
  </si>
  <si>
    <t>cotton</t>
  </si>
  <si>
    <t>CD</t>
  </si>
  <si>
    <t>comedy</t>
  </si>
  <si>
    <t>ceiling</t>
  </si>
  <si>
    <t>council</t>
  </si>
  <si>
    <t>celebrate</t>
  </si>
  <si>
    <t>comfortable</t>
  </si>
  <si>
    <t>celebration</t>
  </si>
  <si>
    <t>country</t>
  </si>
  <si>
    <t>celebrity</t>
  </si>
  <si>
    <t>countryside</t>
  </si>
  <si>
    <t>cell</t>
  </si>
  <si>
    <t>county</t>
  </si>
  <si>
    <t>cent</t>
  </si>
  <si>
    <t>couple</t>
  </si>
  <si>
    <t>central</t>
  </si>
  <si>
    <t>commit</t>
  </si>
  <si>
    <t>courage</t>
  </si>
  <si>
    <t>commitment</t>
  </si>
  <si>
    <t>course</t>
  </si>
  <si>
    <t>century</t>
  </si>
  <si>
    <t>committee</t>
  </si>
  <si>
    <t>court</t>
  </si>
  <si>
    <t>ceremony</t>
  </si>
  <si>
    <t>cousin</t>
  </si>
  <si>
    <t>certain</t>
  </si>
  <si>
    <t>commonly</t>
  </si>
  <si>
    <t>certainly</t>
  </si>
  <si>
    <t>communicate</t>
  </si>
  <si>
    <t>covered</t>
  </si>
  <si>
    <t>communication</t>
  </si>
  <si>
    <t>cow</t>
  </si>
  <si>
    <t>community</t>
  </si>
  <si>
    <t>chairman</t>
  </si>
  <si>
    <t>company</t>
  </si>
  <si>
    <t>crazy</t>
  </si>
  <si>
    <t>compare</t>
  </si>
  <si>
    <t>champion</t>
  </si>
  <si>
    <t>comparison</t>
  </si>
  <si>
    <t>create</t>
  </si>
  <si>
    <t>chance</t>
  </si>
  <si>
    <t>compete</t>
  </si>
  <si>
    <t>creation</t>
  </si>
  <si>
    <t>competition</t>
  </si>
  <si>
    <t>creative</t>
  </si>
  <si>
    <t>channel</t>
  </si>
  <si>
    <t>competitive</t>
  </si>
  <si>
    <t>creature</t>
  </si>
  <si>
    <t>chapter</t>
  </si>
  <si>
    <t>competitor</t>
  </si>
  <si>
    <t>character</t>
  </si>
  <si>
    <t>complain</t>
  </si>
  <si>
    <t>crew</t>
  </si>
  <si>
    <t>complaint</t>
  </si>
  <si>
    <t>crime</t>
  </si>
  <si>
    <t>charity</t>
  </si>
  <si>
    <t>completely</t>
  </si>
  <si>
    <t>crisis</t>
  </si>
  <si>
    <t>criterion</t>
  </si>
  <si>
    <t>complicated</t>
  </si>
  <si>
    <t>critic</t>
  </si>
  <si>
    <t>component</t>
  </si>
  <si>
    <t>critical</t>
  </si>
  <si>
    <t>computer</t>
  </si>
  <si>
    <t>criticism</t>
  </si>
  <si>
    <t>concentrate</t>
  </si>
  <si>
    <t>criticize</t>
  </si>
  <si>
    <t>cheerful</t>
  </si>
  <si>
    <t>concentration</t>
  </si>
  <si>
    <t>crop</t>
  </si>
  <si>
    <t>cheese</t>
  </si>
  <si>
    <t>concept</t>
  </si>
  <si>
    <t>chef</t>
  </si>
  <si>
    <t>crowd</t>
  </si>
  <si>
    <t>concerned</t>
  </si>
  <si>
    <t>crowded</t>
  </si>
  <si>
    <t>chemistry</t>
  </si>
  <si>
    <t>concert</t>
  </si>
  <si>
    <t>crucial</t>
  </si>
  <si>
    <t>chest</t>
  </si>
  <si>
    <t>conclude</t>
  </si>
  <si>
    <t>cruel</t>
  </si>
  <si>
    <t>chicken</t>
  </si>
  <si>
    <t>conclusion</t>
  </si>
  <si>
    <t>condition</t>
  </si>
  <si>
    <t>cultural</t>
  </si>
  <si>
    <t>child</t>
  </si>
  <si>
    <t>culture</t>
  </si>
  <si>
    <t>childhood</t>
  </si>
  <si>
    <t>conference</t>
  </si>
  <si>
    <t>cup</t>
  </si>
  <si>
    <t>chip</t>
  </si>
  <si>
    <t>confidence</t>
  </si>
  <si>
    <t>cupboard</t>
  </si>
  <si>
    <t>chocolate</t>
  </si>
  <si>
    <t>confident</t>
  </si>
  <si>
    <t>choice</t>
  </si>
  <si>
    <t>confirm</t>
  </si>
  <si>
    <t>curly</t>
  </si>
  <si>
    <t>choose</t>
  </si>
  <si>
    <t>currency</t>
  </si>
  <si>
    <t>church</t>
  </si>
  <si>
    <t>confuse</t>
  </si>
  <si>
    <t>cigarette</t>
  </si>
  <si>
    <t>confused</t>
  </si>
  <si>
    <t>currently</t>
  </si>
  <si>
    <t>cinema</t>
  </si>
  <si>
    <t>confusing</t>
  </si>
  <si>
    <t>curtain</t>
  </si>
  <si>
    <t>connect</t>
  </si>
  <si>
    <t>circumstance</t>
  </si>
  <si>
    <t>connected</t>
  </si>
  <si>
    <t>curved</t>
  </si>
  <si>
    <t>cite</t>
  </si>
  <si>
    <t>connection</t>
  </si>
  <si>
    <t>custom</t>
  </si>
  <si>
    <t>citizen</t>
  </si>
  <si>
    <t>conscious</t>
  </si>
  <si>
    <t>customer</t>
  </si>
  <si>
    <t>city</t>
  </si>
  <si>
    <t>consequence</t>
  </si>
  <si>
    <t>civil</t>
  </si>
  <si>
    <t>consider</t>
  </si>
  <si>
    <t>class</t>
  </si>
  <si>
    <t>consideration</t>
  </si>
  <si>
    <t>dad</t>
  </si>
  <si>
    <t>depressing</t>
  </si>
  <si>
    <t>discuss</t>
  </si>
  <si>
    <t>depth</t>
  </si>
  <si>
    <t>discussion</t>
  </si>
  <si>
    <t>describe</t>
  </si>
  <si>
    <t>disease</t>
  </si>
  <si>
    <t>description</t>
  </si>
  <si>
    <t>dish</t>
  </si>
  <si>
    <t>dancer</t>
  </si>
  <si>
    <t>dishonest</t>
  </si>
  <si>
    <t>dancing</t>
  </si>
  <si>
    <t>deserve</t>
  </si>
  <si>
    <t>danger</t>
  </si>
  <si>
    <t>dismiss</t>
  </si>
  <si>
    <t>dangerous</t>
  </si>
  <si>
    <t>designer</t>
  </si>
  <si>
    <t>distance</t>
  </si>
  <si>
    <t>data</t>
  </si>
  <si>
    <t>desk</t>
  </si>
  <si>
    <t>distribute</t>
  </si>
  <si>
    <t>desperate</t>
  </si>
  <si>
    <t>distribution</t>
  </si>
  <si>
    <t>daughter</t>
  </si>
  <si>
    <t>despite</t>
  </si>
  <si>
    <t>district</t>
  </si>
  <si>
    <t>day</t>
  </si>
  <si>
    <t>destination</t>
  </si>
  <si>
    <t>dead</t>
  </si>
  <si>
    <t>destroy</t>
  </si>
  <si>
    <t>division</t>
  </si>
  <si>
    <t>divorced</t>
  </si>
  <si>
    <t>detailed</t>
  </si>
  <si>
    <t>death</t>
  </si>
  <si>
    <t>detect</t>
  </si>
  <si>
    <t>doctor</t>
  </si>
  <si>
    <t>detective</t>
  </si>
  <si>
    <t>debt</t>
  </si>
  <si>
    <t>determine</t>
  </si>
  <si>
    <t>documentary</t>
  </si>
  <si>
    <t>decade</t>
  </si>
  <si>
    <t>determined</t>
  </si>
  <si>
    <t>dog</t>
  </si>
  <si>
    <t>December</t>
  </si>
  <si>
    <t>develop</t>
  </si>
  <si>
    <t>dollar</t>
  </si>
  <si>
    <t>decent</t>
  </si>
  <si>
    <t>development</t>
  </si>
  <si>
    <t>domestic</t>
  </si>
  <si>
    <t>decide</t>
  </si>
  <si>
    <t>device</t>
  </si>
  <si>
    <t>dominate</t>
  </si>
  <si>
    <t>decision</t>
  </si>
  <si>
    <t>diagram</t>
  </si>
  <si>
    <t>donate</t>
  </si>
  <si>
    <t>declare</t>
  </si>
  <si>
    <t>dialogue</t>
  </si>
  <si>
    <t>door</t>
  </si>
  <si>
    <t>diamond</t>
  </si>
  <si>
    <t>decorate</t>
  </si>
  <si>
    <t>diary</t>
  </si>
  <si>
    <t>decoration</t>
  </si>
  <si>
    <t>dictionary</t>
  </si>
  <si>
    <t>die</t>
  </si>
  <si>
    <t>diet</t>
  </si>
  <si>
    <t>deeply</t>
  </si>
  <si>
    <t>difference</t>
  </si>
  <si>
    <t>downwards</t>
  </si>
  <si>
    <t>different</t>
  </si>
  <si>
    <t>defence</t>
  </si>
  <si>
    <t>differently</t>
  </si>
  <si>
    <t>defend</t>
  </si>
  <si>
    <t>difficult</t>
  </si>
  <si>
    <t>drag</t>
  </si>
  <si>
    <t>define</t>
  </si>
  <si>
    <t>difficulty</t>
  </si>
  <si>
    <t>drama</t>
  </si>
  <si>
    <t>definite</t>
  </si>
  <si>
    <t>dig</t>
  </si>
  <si>
    <t>dramatic</t>
  </si>
  <si>
    <t>definitely</t>
  </si>
  <si>
    <t>digital</t>
  </si>
  <si>
    <t>draw</t>
  </si>
  <si>
    <t>definition</t>
  </si>
  <si>
    <t>dinner</t>
  </si>
  <si>
    <t>drawing</t>
  </si>
  <si>
    <t>degree</t>
  </si>
  <si>
    <t>direction</t>
  </si>
  <si>
    <t>deliberate</t>
  </si>
  <si>
    <t>directly</t>
  </si>
  <si>
    <t>dressed</t>
  </si>
  <si>
    <t>deliberately</t>
  </si>
  <si>
    <t>director</t>
  </si>
  <si>
    <t>delicious</t>
  </si>
  <si>
    <t>dirt</t>
  </si>
  <si>
    <t>dirty</t>
  </si>
  <si>
    <t>driver</t>
  </si>
  <si>
    <t>delighted</t>
  </si>
  <si>
    <t>disadvantage</t>
  </si>
  <si>
    <t>driving</t>
  </si>
  <si>
    <t>deliver</t>
  </si>
  <si>
    <t>disagree</t>
  </si>
  <si>
    <t>delivery</t>
  </si>
  <si>
    <t>disappear</t>
  </si>
  <si>
    <t>drug</t>
  </si>
  <si>
    <t>disappointed</t>
  </si>
  <si>
    <t>drum</t>
  </si>
  <si>
    <t>demonstrate</t>
  </si>
  <si>
    <t>disappointing</t>
  </si>
  <si>
    <t>drunk</t>
  </si>
  <si>
    <t>dentist</t>
  </si>
  <si>
    <t>disaster</t>
  </si>
  <si>
    <t>deny</t>
  </si>
  <si>
    <t>disc</t>
  </si>
  <si>
    <t>due</t>
  </si>
  <si>
    <t>department</t>
  </si>
  <si>
    <t>discipline</t>
  </si>
  <si>
    <t>during</t>
  </si>
  <si>
    <t>departure</t>
  </si>
  <si>
    <t>dust</t>
  </si>
  <si>
    <t>depend</t>
  </si>
  <si>
    <t>discover</t>
  </si>
  <si>
    <t>duty</t>
  </si>
  <si>
    <t>depressed</t>
  </si>
  <si>
    <t>discovery</t>
  </si>
  <si>
    <t>DVD</t>
  </si>
  <si>
    <t>each</t>
  </si>
  <si>
    <t>det./pron./adv.</t>
  </si>
  <si>
    <t>employer</t>
  </si>
  <si>
    <t>everyday</t>
  </si>
  <si>
    <t>ear</t>
  </si>
  <si>
    <t>employment</t>
  </si>
  <si>
    <t>everyone</t>
  </si>
  <si>
    <t>everything</t>
  </si>
  <si>
    <t>earn</t>
  </si>
  <si>
    <t>enable</t>
  </si>
  <si>
    <t>everywhere</t>
  </si>
  <si>
    <t>earth</t>
  </si>
  <si>
    <t>evidence</t>
  </si>
  <si>
    <t>earthquake</t>
  </si>
  <si>
    <t>encourage</t>
  </si>
  <si>
    <t>easily</t>
  </si>
  <si>
    <t>exact</t>
  </si>
  <si>
    <t>ending</t>
  </si>
  <si>
    <t>exactly</t>
  </si>
  <si>
    <t>eastern</t>
  </si>
  <si>
    <t>enemy</t>
  </si>
  <si>
    <t>exam</t>
  </si>
  <si>
    <t>easy</t>
  </si>
  <si>
    <t>energy</t>
  </si>
  <si>
    <t>examination</t>
  </si>
  <si>
    <t>eat</t>
  </si>
  <si>
    <t>engage</t>
  </si>
  <si>
    <t>examine</t>
  </si>
  <si>
    <t>economic</t>
  </si>
  <si>
    <t>engaged</t>
  </si>
  <si>
    <t>example</t>
  </si>
  <si>
    <t>economy</t>
  </si>
  <si>
    <t>engine</t>
  </si>
  <si>
    <t>excellent</t>
  </si>
  <si>
    <t>edge</t>
  </si>
  <si>
    <t>engineer</t>
  </si>
  <si>
    <t>edit</t>
  </si>
  <si>
    <t>engineering</t>
  </si>
  <si>
    <t>edition</t>
  </si>
  <si>
    <t>enhance</t>
  </si>
  <si>
    <t>excited</t>
  </si>
  <si>
    <t>editor</t>
  </si>
  <si>
    <t>enjoy</t>
  </si>
  <si>
    <t>excitement</t>
  </si>
  <si>
    <t>educate</t>
  </si>
  <si>
    <t>enormous</t>
  </si>
  <si>
    <t>exciting</t>
  </si>
  <si>
    <t>educated</t>
  </si>
  <si>
    <t>education</t>
  </si>
  <si>
    <t>enquiry</t>
  </si>
  <si>
    <t>educational</t>
  </si>
  <si>
    <t>ensure</t>
  </si>
  <si>
    <t>effect</t>
  </si>
  <si>
    <t>enter</t>
  </si>
  <si>
    <t>exhibition</t>
  </si>
  <si>
    <t>effective</t>
  </si>
  <si>
    <t>entertain</t>
  </si>
  <si>
    <t>exist</t>
  </si>
  <si>
    <t>effectively</t>
  </si>
  <si>
    <t>entertainment</t>
  </si>
  <si>
    <t>existence</t>
  </si>
  <si>
    <t>efficient</t>
  </si>
  <si>
    <t>enthusiasm</t>
  </si>
  <si>
    <t>expand</t>
  </si>
  <si>
    <t>effort</t>
  </si>
  <si>
    <t>enthusiastic</t>
  </si>
  <si>
    <t>expect</t>
  </si>
  <si>
    <t>egg</t>
  </si>
  <si>
    <t>entire</t>
  </si>
  <si>
    <t>expectation</t>
  </si>
  <si>
    <t>eight</t>
  </si>
  <si>
    <t>entirely</t>
  </si>
  <si>
    <t>expected</t>
  </si>
  <si>
    <t>eighteen</t>
  </si>
  <si>
    <t>entrance</t>
  </si>
  <si>
    <t>expedition</t>
  </si>
  <si>
    <t>eighty</t>
  </si>
  <si>
    <t>entry</t>
  </si>
  <si>
    <t>expense</t>
  </si>
  <si>
    <t>environment</t>
  </si>
  <si>
    <t>expensive</t>
  </si>
  <si>
    <t>elderly</t>
  </si>
  <si>
    <t>environmental</t>
  </si>
  <si>
    <t>elect</t>
  </si>
  <si>
    <t>episode</t>
  </si>
  <si>
    <t>experienced</t>
  </si>
  <si>
    <t>election</t>
  </si>
  <si>
    <t>electric</t>
  </si>
  <si>
    <t>equally</t>
  </si>
  <si>
    <t>electrical</t>
  </si>
  <si>
    <t>equipment</t>
  </si>
  <si>
    <t>explain</t>
  </si>
  <si>
    <t>electricity</t>
  </si>
  <si>
    <t>error</t>
  </si>
  <si>
    <t>explanation</t>
  </si>
  <si>
    <t>electronic</t>
  </si>
  <si>
    <t>explode</t>
  </si>
  <si>
    <t>element</t>
  </si>
  <si>
    <t>especially</t>
  </si>
  <si>
    <t>exploration</t>
  </si>
  <si>
    <t>elephant</t>
  </si>
  <si>
    <t>essay</t>
  </si>
  <si>
    <t>explore</t>
  </si>
  <si>
    <t>eleven</t>
  </si>
  <si>
    <t>essential</t>
  </si>
  <si>
    <t>explosion</t>
  </si>
  <si>
    <t>else</t>
  </si>
  <si>
    <t>establish</t>
  </si>
  <si>
    <t>elsewhere</t>
  </si>
  <si>
    <t>estate</t>
  </si>
  <si>
    <t>expose</t>
  </si>
  <si>
    <t>express</t>
  </si>
  <si>
    <t>embarrassed</t>
  </si>
  <si>
    <t>ethical</t>
  </si>
  <si>
    <t>expression</t>
  </si>
  <si>
    <t>embarrassing</t>
  </si>
  <si>
    <t>euro</t>
  </si>
  <si>
    <t>extend</t>
  </si>
  <si>
    <t>emerge</t>
  </si>
  <si>
    <t>evaluate</t>
  </si>
  <si>
    <t>extent</t>
  </si>
  <si>
    <t>emergency</t>
  </si>
  <si>
    <t>external</t>
  </si>
  <si>
    <t>emotion</t>
  </si>
  <si>
    <t>evening</t>
  </si>
  <si>
    <t>emotional</t>
  </si>
  <si>
    <t>event</t>
  </si>
  <si>
    <t>extraordinary</t>
  </si>
  <si>
    <t>emphasis</t>
  </si>
  <si>
    <t>eventually</t>
  </si>
  <si>
    <t>emphasize</t>
  </si>
  <si>
    <t>ever</t>
  </si>
  <si>
    <t>extremely</t>
  </si>
  <si>
    <t>employ</t>
  </si>
  <si>
    <t>every</t>
  </si>
  <si>
    <t>det.</t>
  </si>
  <si>
    <t>eye</t>
  </si>
  <si>
    <t>employee</t>
  </si>
  <si>
    <t>everybody</t>
  </si>
  <si>
    <t>fighting</t>
  </si>
  <si>
    <t>forest</t>
  </si>
  <si>
    <t>facility</t>
  </si>
  <si>
    <t>forever</t>
  </si>
  <si>
    <t>fact</t>
  </si>
  <si>
    <t>forget</t>
  </si>
  <si>
    <t>factor</t>
  </si>
  <si>
    <t>fill</t>
  </si>
  <si>
    <t>forgive</t>
  </si>
  <si>
    <t>factory</t>
  </si>
  <si>
    <t>fork</t>
  </si>
  <si>
    <t>fail</t>
  </si>
  <si>
    <t>failure</t>
  </si>
  <si>
    <t>finally</t>
  </si>
  <si>
    <t>formal</t>
  </si>
  <si>
    <t>fair</t>
  </si>
  <si>
    <t>former</t>
  </si>
  <si>
    <t>fairly</t>
  </si>
  <si>
    <t>financial</t>
  </si>
  <si>
    <t>fortunately</t>
  </si>
  <si>
    <t>faith</t>
  </si>
  <si>
    <t>find</t>
  </si>
  <si>
    <t>fortune</t>
  </si>
  <si>
    <t>finding</t>
  </si>
  <si>
    <t>forty</t>
  </si>
  <si>
    <t>false</t>
  </si>
  <si>
    <t>fine</t>
  </si>
  <si>
    <t>familiar</t>
  </si>
  <si>
    <t>finger</t>
  </si>
  <si>
    <t>found</t>
  </si>
  <si>
    <t>four</t>
  </si>
  <si>
    <t>famous</t>
  </si>
  <si>
    <t>fourteen</t>
  </si>
  <si>
    <t>fan</t>
  </si>
  <si>
    <t>firm</t>
  </si>
  <si>
    <t>fourth</t>
  </si>
  <si>
    <t>fantastic</t>
  </si>
  <si>
    <t>firstly</t>
  </si>
  <si>
    <t>freedom</t>
  </si>
  <si>
    <t>fishing</t>
  </si>
  <si>
    <t>freeze</t>
  </si>
  <si>
    <t>farmer</t>
  </si>
  <si>
    <t>frequency</t>
  </si>
  <si>
    <t>farming</t>
  </si>
  <si>
    <t>fitness</t>
  </si>
  <si>
    <t>frequently</t>
  </si>
  <si>
    <t>fascinating</t>
  </si>
  <si>
    <t>five</t>
  </si>
  <si>
    <t>fresh</t>
  </si>
  <si>
    <t>fashion</t>
  </si>
  <si>
    <t>Friday</t>
  </si>
  <si>
    <t>fashionable</t>
  </si>
  <si>
    <t>fixed</t>
  </si>
  <si>
    <t>fridge</t>
  </si>
  <si>
    <t>flag</t>
  </si>
  <si>
    <t>friend</t>
  </si>
  <si>
    <t>fasten</t>
  </si>
  <si>
    <t>flame</t>
  </si>
  <si>
    <t>friendly</t>
  </si>
  <si>
    <t>friendship</t>
  </si>
  <si>
    <t>father</t>
  </si>
  <si>
    <t>frighten</t>
  </si>
  <si>
    <t>fault</t>
  </si>
  <si>
    <t>flexible</t>
  </si>
  <si>
    <t>frightened</t>
  </si>
  <si>
    <t>flight</t>
  </si>
  <si>
    <t>frightening</t>
  </si>
  <si>
    <t>float</t>
  </si>
  <si>
    <t>frog</t>
  </si>
  <si>
    <t>from</t>
  </si>
  <si>
    <t>feather</t>
  </si>
  <si>
    <t>floor</t>
  </si>
  <si>
    <t>flour</t>
  </si>
  <si>
    <t>frozen</t>
  </si>
  <si>
    <t>February</t>
  </si>
  <si>
    <t>fruit</t>
  </si>
  <si>
    <t>fee</t>
  </si>
  <si>
    <t>flower</t>
  </si>
  <si>
    <t>fry</t>
  </si>
  <si>
    <t>flu</t>
  </si>
  <si>
    <t>feedback</t>
  </si>
  <si>
    <t>full</t>
  </si>
  <si>
    <t>fully</t>
  </si>
  <si>
    <t>feeling</t>
  </si>
  <si>
    <t>fellow</t>
  </si>
  <si>
    <t>folding</t>
  </si>
  <si>
    <t>fence</t>
  </si>
  <si>
    <t>fundamental</t>
  </si>
  <si>
    <t>festival</t>
  </si>
  <si>
    <t>follow</t>
  </si>
  <si>
    <t>funding</t>
  </si>
  <si>
    <t>funny</t>
  </si>
  <si>
    <t>fiction</t>
  </si>
  <si>
    <t>food</t>
  </si>
  <si>
    <t>fur</t>
  </si>
  <si>
    <t>field</t>
  </si>
  <si>
    <t>foot</t>
  </si>
  <si>
    <t>furniture</t>
  </si>
  <si>
    <t>fifteen</t>
  </si>
  <si>
    <t>football</t>
  </si>
  <si>
    <t>fifth</t>
  </si>
  <si>
    <t>for</t>
  </si>
  <si>
    <t>furthermore</t>
  </si>
  <si>
    <t>fifty</t>
  </si>
  <si>
    <t>foreign</t>
  </si>
  <si>
    <t>girlfriend</t>
  </si>
  <si>
    <t>grandparent</t>
  </si>
  <si>
    <t>gallery</t>
  </si>
  <si>
    <t>give</t>
  </si>
  <si>
    <t>game</t>
  </si>
  <si>
    <t>glad</t>
  </si>
  <si>
    <t>grass</t>
  </si>
  <si>
    <t>gang</t>
  </si>
  <si>
    <t>glass</t>
  </si>
  <si>
    <t>grateful</t>
  </si>
  <si>
    <t>gap</t>
  </si>
  <si>
    <t>global</t>
  </si>
  <si>
    <t>great</t>
  </si>
  <si>
    <t>garage</t>
  </si>
  <si>
    <t>glove</t>
  </si>
  <si>
    <t>garden</t>
  </si>
  <si>
    <t>greet</t>
  </si>
  <si>
    <t>gas</t>
  </si>
  <si>
    <t>goal</t>
  </si>
  <si>
    <t>gate</t>
  </si>
  <si>
    <t>god</t>
  </si>
  <si>
    <t>ground</t>
  </si>
  <si>
    <t>gather</t>
  </si>
  <si>
    <t>group</t>
  </si>
  <si>
    <t>general</t>
  </si>
  <si>
    <t>golf</t>
  </si>
  <si>
    <t>grow</t>
  </si>
  <si>
    <t>generally</t>
  </si>
  <si>
    <t>growth</t>
  </si>
  <si>
    <t>generate</t>
  </si>
  <si>
    <t>goodbye</t>
  </si>
  <si>
    <t>exclam./n.</t>
  </si>
  <si>
    <t>generation</t>
  </si>
  <si>
    <t>goods</t>
  </si>
  <si>
    <t>generous</t>
  </si>
  <si>
    <t>govern</t>
  </si>
  <si>
    <t>genre</t>
  </si>
  <si>
    <t>government</t>
  </si>
  <si>
    <t>guest</t>
  </si>
  <si>
    <t>gentle</t>
  </si>
  <si>
    <t>grab</t>
  </si>
  <si>
    <t>gentleman</t>
  </si>
  <si>
    <t>guilty</t>
  </si>
  <si>
    <t>geography</t>
  </si>
  <si>
    <t>gradually</t>
  </si>
  <si>
    <t>guitar</t>
  </si>
  <si>
    <t>get</t>
  </si>
  <si>
    <t>gun</t>
  </si>
  <si>
    <t>ghost</t>
  </si>
  <si>
    <t>grain</t>
  </si>
  <si>
    <t>guy</t>
  </si>
  <si>
    <t>grand</t>
  </si>
  <si>
    <t>gym</t>
  </si>
  <si>
    <t>gift</t>
  </si>
  <si>
    <t>grandfather</t>
  </si>
  <si>
    <t>girl</t>
  </si>
  <si>
    <t>grandmother</t>
  </si>
  <si>
    <t>habit</t>
  </si>
  <si>
    <t>heel</t>
  </si>
  <si>
    <t>hollow</t>
  </si>
  <si>
    <t>hair</t>
  </si>
  <si>
    <t>height</t>
  </si>
  <si>
    <t>holy</t>
  </si>
  <si>
    <t>helicopter</t>
  </si>
  <si>
    <t>hall</t>
  </si>
  <si>
    <t>hell</t>
  </si>
  <si>
    <t>homework</t>
  </si>
  <si>
    <t>hello</t>
  </si>
  <si>
    <t>honest</t>
  </si>
  <si>
    <t>hang</t>
  </si>
  <si>
    <t>helpful</t>
  </si>
  <si>
    <t>happen</t>
  </si>
  <si>
    <t>horrible</t>
  </si>
  <si>
    <t>happily</t>
  </si>
  <si>
    <t>here</t>
  </si>
  <si>
    <t>horror</t>
  </si>
  <si>
    <t>happiness</t>
  </si>
  <si>
    <t>hero</t>
  </si>
  <si>
    <t>horse</t>
  </si>
  <si>
    <t>happy</t>
  </si>
  <si>
    <t>hers</t>
  </si>
  <si>
    <t>hospital</t>
  </si>
  <si>
    <t>herself</t>
  </si>
  <si>
    <t>hardly</t>
  </si>
  <si>
    <t>hesitate</t>
  </si>
  <si>
    <t>hot</t>
  </si>
  <si>
    <t>hey</t>
  </si>
  <si>
    <t>hotel</t>
  </si>
  <si>
    <t>harmful</t>
  </si>
  <si>
    <t>hi</t>
  </si>
  <si>
    <t>hour</t>
  </si>
  <si>
    <t>hat</t>
  </si>
  <si>
    <t>hide</t>
  </si>
  <si>
    <t>household</t>
  </si>
  <si>
    <t>housing</t>
  </si>
  <si>
    <t>highly</t>
  </si>
  <si>
    <t>how</t>
  </si>
  <si>
    <t>he</t>
  </si>
  <si>
    <t>hill</t>
  </si>
  <si>
    <t>however</t>
  </si>
  <si>
    <t>him</t>
  </si>
  <si>
    <t>huge</t>
  </si>
  <si>
    <t>headache</t>
  </si>
  <si>
    <t>himself</t>
  </si>
  <si>
    <t>headline</t>
  </si>
  <si>
    <t>humorous</t>
  </si>
  <si>
    <t>health</t>
  </si>
  <si>
    <t>humour</t>
  </si>
  <si>
    <t>healthy</t>
  </si>
  <si>
    <t>historic</t>
  </si>
  <si>
    <t>hundred</t>
  </si>
  <si>
    <t>hear</t>
  </si>
  <si>
    <t>historical</t>
  </si>
  <si>
    <t>hungry</t>
  </si>
  <si>
    <t>hearing</t>
  </si>
  <si>
    <t>history</t>
  </si>
  <si>
    <t>heart</t>
  </si>
  <si>
    <t>hunting</t>
  </si>
  <si>
    <t>hobby</t>
  </si>
  <si>
    <t>hurricane</t>
  </si>
  <si>
    <t>heating</t>
  </si>
  <si>
    <t>hockey</t>
  </si>
  <si>
    <t>heaven</t>
  </si>
  <si>
    <t>heavily</t>
  </si>
  <si>
    <t>hole</t>
  </si>
  <si>
    <t>husband</t>
  </si>
  <si>
    <t>heavy</t>
  </si>
  <si>
    <t>holiday</t>
  </si>
  <si>
    <t>I</t>
  </si>
  <si>
    <t>including</t>
  </si>
  <si>
    <t>instructor</t>
  </si>
  <si>
    <t>ice</t>
  </si>
  <si>
    <t>income</t>
  </si>
  <si>
    <t>instrument</t>
  </si>
  <si>
    <t>insurance</t>
  </si>
  <si>
    <t>idea</t>
  </si>
  <si>
    <t>increasingly</t>
  </si>
  <si>
    <t>intelligence</t>
  </si>
  <si>
    <t>incredible</t>
  </si>
  <si>
    <t>intelligent</t>
  </si>
  <si>
    <t>identify</t>
  </si>
  <si>
    <t>incredibly</t>
  </si>
  <si>
    <t>intend</t>
  </si>
  <si>
    <t>identity</t>
  </si>
  <si>
    <t>indeed</t>
  </si>
  <si>
    <t>intended</t>
  </si>
  <si>
    <t>if</t>
  </si>
  <si>
    <t>independent</t>
  </si>
  <si>
    <t>intense</t>
  </si>
  <si>
    <t>ignore</t>
  </si>
  <si>
    <t>indicate</t>
  </si>
  <si>
    <t>intention</t>
  </si>
  <si>
    <t>ill</t>
  </si>
  <si>
    <t>indirect</t>
  </si>
  <si>
    <t>illegal</t>
  </si>
  <si>
    <t>interested</t>
  </si>
  <si>
    <t>illness</t>
  </si>
  <si>
    <t>indoor</t>
  </si>
  <si>
    <t>interesting</t>
  </si>
  <si>
    <t>illustrate</t>
  </si>
  <si>
    <t>indoors</t>
  </si>
  <si>
    <t>internal</t>
  </si>
  <si>
    <t>illustration</t>
  </si>
  <si>
    <t>industrial</t>
  </si>
  <si>
    <t>international</t>
  </si>
  <si>
    <t>image</t>
  </si>
  <si>
    <t>industry</t>
  </si>
  <si>
    <t>internet</t>
  </si>
  <si>
    <t>imaginary</t>
  </si>
  <si>
    <t>infection</t>
  </si>
  <si>
    <t>interpret</t>
  </si>
  <si>
    <t>imagination</t>
  </si>
  <si>
    <t>interrupt</t>
  </si>
  <si>
    <t>imagine</t>
  </si>
  <si>
    <t>inform</t>
  </si>
  <si>
    <t>immediate</t>
  </si>
  <si>
    <t>informal</t>
  </si>
  <si>
    <t>into</t>
  </si>
  <si>
    <t>immediately</t>
  </si>
  <si>
    <t>information</t>
  </si>
  <si>
    <t>introduce</t>
  </si>
  <si>
    <t>immigrant</t>
  </si>
  <si>
    <t>ingredient</t>
  </si>
  <si>
    <t>introduction</t>
  </si>
  <si>
    <t>initial</t>
  </si>
  <si>
    <t>invent</t>
  </si>
  <si>
    <t>impatient</t>
  </si>
  <si>
    <t>initially</t>
  </si>
  <si>
    <t>invention</t>
  </si>
  <si>
    <t>imply</t>
  </si>
  <si>
    <t>initiative</t>
  </si>
  <si>
    <t>invest</t>
  </si>
  <si>
    <t>injure</t>
  </si>
  <si>
    <t>investigate</t>
  </si>
  <si>
    <t>importance</t>
  </si>
  <si>
    <t>injured</t>
  </si>
  <si>
    <t>investigation</t>
  </si>
  <si>
    <t>important</t>
  </si>
  <si>
    <t>injury</t>
  </si>
  <si>
    <t>investment</t>
  </si>
  <si>
    <t>impose</t>
  </si>
  <si>
    <t>inner</t>
  </si>
  <si>
    <t>invitation</t>
  </si>
  <si>
    <t>impossible</t>
  </si>
  <si>
    <t>innocent</t>
  </si>
  <si>
    <t>invite</t>
  </si>
  <si>
    <t>impress</t>
  </si>
  <si>
    <t>insect</t>
  </si>
  <si>
    <t>involve</t>
  </si>
  <si>
    <t>impressed</t>
  </si>
  <si>
    <t>involved</t>
  </si>
  <si>
    <t>impression</t>
  </si>
  <si>
    <t>insight</t>
  </si>
  <si>
    <t>impressive</t>
  </si>
  <si>
    <t>insist</t>
  </si>
  <si>
    <t>island</t>
  </si>
  <si>
    <t>improve</t>
  </si>
  <si>
    <t>inspire</t>
  </si>
  <si>
    <t>improvement</t>
  </si>
  <si>
    <t>install</t>
  </si>
  <si>
    <t>IT</t>
  </si>
  <si>
    <t>instance</t>
  </si>
  <si>
    <t>it</t>
  </si>
  <si>
    <t>inch</t>
  </si>
  <si>
    <t>instead</t>
  </si>
  <si>
    <t>item</t>
  </si>
  <si>
    <t>incident</t>
  </si>
  <si>
    <t>institute</t>
  </si>
  <si>
    <t>its</t>
  </si>
  <si>
    <t>include</t>
  </si>
  <si>
    <t>institution</t>
  </si>
  <si>
    <t>itself</t>
  </si>
  <si>
    <t>included</t>
  </si>
  <si>
    <t>instruction</t>
  </si>
  <si>
    <t>jacket</t>
  </si>
  <si>
    <t>July</t>
  </si>
  <si>
    <t>jam</t>
  </si>
  <si>
    <t>journal</t>
  </si>
  <si>
    <t>January</t>
  </si>
  <si>
    <t>journalist</t>
  </si>
  <si>
    <t>June</t>
  </si>
  <si>
    <t>jazz</t>
  </si>
  <si>
    <t>journey</t>
  </si>
  <si>
    <t>junior</t>
  </si>
  <si>
    <t>jeans</t>
  </si>
  <si>
    <t>joy</t>
  </si>
  <si>
    <t>just</t>
  </si>
  <si>
    <t>jewellery</t>
  </si>
  <si>
    <t>justice</t>
  </si>
  <si>
    <t>job</t>
  </si>
  <si>
    <t>judgement</t>
  </si>
  <si>
    <t>justify</t>
  </si>
  <si>
    <t>join</t>
  </si>
  <si>
    <t>juice</t>
  </si>
  <si>
    <t>keen</t>
  </si>
  <si>
    <t>killing</t>
  </si>
  <si>
    <t>knee</t>
  </si>
  <si>
    <t>keep</t>
  </si>
  <si>
    <t>kilometre</t>
  </si>
  <si>
    <t>knife</t>
  </si>
  <si>
    <t>keyboard</t>
  </si>
  <si>
    <t>know</t>
  </si>
  <si>
    <t>king</t>
  </si>
  <si>
    <t>knowledge</t>
  </si>
  <si>
    <t>kid</t>
  </si>
  <si>
    <t>kill</t>
  </si>
  <si>
    <t>kitchen</t>
  </si>
  <si>
    <t>lab</t>
  </si>
  <si>
    <t>leather</t>
  </si>
  <si>
    <t>literature</t>
  </si>
  <si>
    <t>laboratory</t>
  </si>
  <si>
    <t>live1</t>
  </si>
  <si>
    <t>labour</t>
  </si>
  <si>
    <t>leg</t>
  </si>
  <si>
    <t>lively</t>
  </si>
  <si>
    <t>lady</t>
  </si>
  <si>
    <t>legal</t>
  </si>
  <si>
    <t>lake</t>
  </si>
  <si>
    <t>leisure</t>
  </si>
  <si>
    <t>lamp</t>
  </si>
  <si>
    <t>lemon</t>
  </si>
  <si>
    <t>loan</t>
  </si>
  <si>
    <t>lend</t>
  </si>
  <si>
    <t>landscape</t>
  </si>
  <si>
    <t>length</t>
  </si>
  <si>
    <t>locate</t>
  </si>
  <si>
    <t>language</t>
  </si>
  <si>
    <t>located</t>
  </si>
  <si>
    <t>laptop</t>
  </si>
  <si>
    <t>lesson</t>
  </si>
  <si>
    <t>location</t>
  </si>
  <si>
    <t>large</t>
  </si>
  <si>
    <t>let</t>
  </si>
  <si>
    <t>largely</t>
  </si>
  <si>
    <t>letter</t>
  </si>
  <si>
    <t>logical</t>
  </si>
  <si>
    <t>lonely</t>
  </si>
  <si>
    <t>library</t>
  </si>
  <si>
    <t>licence</t>
  </si>
  <si>
    <t>lie1</t>
  </si>
  <si>
    <t>loose</t>
  </si>
  <si>
    <t>life</t>
  </si>
  <si>
    <t>lord</t>
  </si>
  <si>
    <t>laughter</t>
  </si>
  <si>
    <t>lifestyle</t>
  </si>
  <si>
    <t>lorry</t>
  </si>
  <si>
    <t>lose</t>
  </si>
  <si>
    <t>law</t>
  </si>
  <si>
    <t>loss</t>
  </si>
  <si>
    <t>lawyer</t>
  </si>
  <si>
    <t>lost</t>
  </si>
  <si>
    <t>lay</t>
  </si>
  <si>
    <t>layer</t>
  </si>
  <si>
    <t>lazy</t>
  </si>
  <si>
    <t>likely</t>
  </si>
  <si>
    <t>loudly</t>
  </si>
  <si>
    <t>leader</t>
  </si>
  <si>
    <t>limited</t>
  </si>
  <si>
    <t>lovely</t>
  </si>
  <si>
    <t>leadership</t>
  </si>
  <si>
    <t>leading</t>
  </si>
  <si>
    <t>lower</t>
  </si>
  <si>
    <t>leaf</t>
  </si>
  <si>
    <t>lion</t>
  </si>
  <si>
    <t>luck</t>
  </si>
  <si>
    <t>league</t>
  </si>
  <si>
    <t>lip</t>
  </si>
  <si>
    <t>lucky</t>
  </si>
  <si>
    <t>lean</t>
  </si>
  <si>
    <t>lunch</t>
  </si>
  <si>
    <t>learn</t>
  </si>
  <si>
    <t>lung</t>
  </si>
  <si>
    <t>learning</t>
  </si>
  <si>
    <t>listen</t>
  </si>
  <si>
    <t>luxury</t>
  </si>
  <si>
    <t>listener</t>
  </si>
  <si>
    <t>machine</t>
  </si>
  <si>
    <t>meanwhile</t>
  </si>
  <si>
    <t>mixture</t>
  </si>
  <si>
    <t>mad</t>
  </si>
  <si>
    <t>magazine</t>
  </si>
  <si>
    <t>measurement</t>
  </si>
  <si>
    <t>meat</t>
  </si>
  <si>
    <t>modern</t>
  </si>
  <si>
    <t>media</t>
  </si>
  <si>
    <t>modify</t>
  </si>
  <si>
    <t>main</t>
  </si>
  <si>
    <t>medical</t>
  </si>
  <si>
    <t>moment</t>
  </si>
  <si>
    <t>mainly</t>
  </si>
  <si>
    <t>medicine</t>
  </si>
  <si>
    <t>Monday</t>
  </si>
  <si>
    <t>maintain</t>
  </si>
  <si>
    <t>money</t>
  </si>
  <si>
    <t>major</t>
  </si>
  <si>
    <t>meet</t>
  </si>
  <si>
    <t>majority</t>
  </si>
  <si>
    <t>meeting</t>
  </si>
  <si>
    <t>monkey</t>
  </si>
  <si>
    <t>melt</t>
  </si>
  <si>
    <t>month</t>
  </si>
  <si>
    <t>member</t>
  </si>
  <si>
    <t>mood</t>
  </si>
  <si>
    <t>mall</t>
  </si>
  <si>
    <t>memory</t>
  </si>
  <si>
    <t>moon</t>
  </si>
  <si>
    <t>man</t>
  </si>
  <si>
    <t>mental</t>
  </si>
  <si>
    <t>manage</t>
  </si>
  <si>
    <t>management</t>
  </si>
  <si>
    <t>menu</t>
  </si>
  <si>
    <t>morning</t>
  </si>
  <si>
    <t>manager</t>
  </si>
  <si>
    <t>manner</t>
  </si>
  <si>
    <t>message</t>
  </si>
  <si>
    <t>mostly</t>
  </si>
  <si>
    <t>many</t>
  </si>
  <si>
    <t>metal</t>
  </si>
  <si>
    <t>mother</t>
  </si>
  <si>
    <t>method</t>
  </si>
  <si>
    <t>March</t>
  </si>
  <si>
    <t>metre</t>
  </si>
  <si>
    <t>motorcycle</t>
  </si>
  <si>
    <t>mount</t>
  </si>
  <si>
    <t>midnight</t>
  </si>
  <si>
    <t>mountain</t>
  </si>
  <si>
    <t>marketing</t>
  </si>
  <si>
    <t>mouse</t>
  </si>
  <si>
    <t>marriage</t>
  </si>
  <si>
    <t>mild</t>
  </si>
  <si>
    <t>mouth</t>
  </si>
  <si>
    <t>married</t>
  </si>
  <si>
    <t>mile</t>
  </si>
  <si>
    <t>marry</t>
  </si>
  <si>
    <t>movement</t>
  </si>
  <si>
    <t>milk</t>
  </si>
  <si>
    <t>movie</t>
  </si>
  <si>
    <t>massive</t>
  </si>
  <si>
    <t>million</t>
  </si>
  <si>
    <t>mud</t>
  </si>
  <si>
    <t>multiple</t>
  </si>
  <si>
    <t>matching</t>
  </si>
  <si>
    <t>multiply</t>
  </si>
  <si>
    <t>mineral</t>
  </si>
  <si>
    <t>mum</t>
  </si>
  <si>
    <t>mathematics</t>
  </si>
  <si>
    <t>maths</t>
  </si>
  <si>
    <t>minister</t>
  </si>
  <si>
    <t>muscle</t>
  </si>
  <si>
    <t>minor</t>
  </si>
  <si>
    <t>museum</t>
  </si>
  <si>
    <t>minority</t>
  </si>
  <si>
    <t>music</t>
  </si>
  <si>
    <t>May</t>
  </si>
  <si>
    <t>minute1</t>
  </si>
  <si>
    <t>mirror</t>
  </si>
  <si>
    <t>musician</t>
  </si>
  <si>
    <t>maybe</t>
  </si>
  <si>
    <t>miss</t>
  </si>
  <si>
    <t>me</t>
  </si>
  <si>
    <t>missing</t>
  </si>
  <si>
    <t>my</t>
  </si>
  <si>
    <t>meal</t>
  </si>
  <si>
    <t>mission</t>
  </si>
  <si>
    <t>myself</t>
  </si>
  <si>
    <t>mean</t>
  </si>
  <si>
    <t>mysterious</t>
  </si>
  <si>
    <t>meaning</t>
  </si>
  <si>
    <t>mystery</t>
  </si>
  <si>
    <t>means</t>
  </si>
  <si>
    <t>mixed</t>
  </si>
  <si>
    <t>nail</t>
  </si>
  <si>
    <t>nerve</t>
  </si>
  <si>
    <t>none</t>
  </si>
  <si>
    <t>nervous</t>
  </si>
  <si>
    <t>nor</t>
  </si>
  <si>
    <t>conj./adv.</t>
  </si>
  <si>
    <t>net</t>
  </si>
  <si>
    <t>network</t>
  </si>
  <si>
    <t>normally</t>
  </si>
  <si>
    <t>nation</t>
  </si>
  <si>
    <t>never</t>
  </si>
  <si>
    <t>nevertheless</t>
  </si>
  <si>
    <t>northern</t>
  </si>
  <si>
    <t>new</t>
  </si>
  <si>
    <t>nose</t>
  </si>
  <si>
    <t>natural</t>
  </si>
  <si>
    <t>news</t>
  </si>
  <si>
    <t>not</t>
  </si>
  <si>
    <t>naturally</t>
  </si>
  <si>
    <t>newspaper</t>
  </si>
  <si>
    <t>nature</t>
  </si>
  <si>
    <t>nothing</t>
  </si>
  <si>
    <t>nearly</t>
  </si>
  <si>
    <t>nice</t>
  </si>
  <si>
    <t>notion</t>
  </si>
  <si>
    <t>neat</t>
  </si>
  <si>
    <t>night</t>
  </si>
  <si>
    <t>novel</t>
  </si>
  <si>
    <t>necessarily</t>
  </si>
  <si>
    <t>nightmare</t>
  </si>
  <si>
    <t>November</t>
  </si>
  <si>
    <t>necessary</t>
  </si>
  <si>
    <t>nine</t>
  </si>
  <si>
    <t>neck</t>
  </si>
  <si>
    <t>nineteen</t>
  </si>
  <si>
    <t>nowhere</t>
  </si>
  <si>
    <t>ninety</t>
  </si>
  <si>
    <t>nuclear</t>
  </si>
  <si>
    <t>needle</t>
  </si>
  <si>
    <t>numerous</t>
  </si>
  <si>
    <t>neighbour</t>
  </si>
  <si>
    <t>nobody</t>
  </si>
  <si>
    <t>nurse</t>
  </si>
  <si>
    <t>neighbourhood</t>
  </si>
  <si>
    <t>noise</t>
  </si>
  <si>
    <t>nut</t>
  </si>
  <si>
    <t>noisy</t>
  </si>
  <si>
    <t>obey</t>
  </si>
  <si>
    <t>oil</t>
  </si>
  <si>
    <t>organ</t>
  </si>
  <si>
    <t>organization</t>
  </si>
  <si>
    <t>old</t>
  </si>
  <si>
    <t>organize</t>
  </si>
  <si>
    <t>obligation</t>
  </si>
  <si>
    <t>old-fashioned</t>
  </si>
  <si>
    <t>organized</t>
  </si>
  <si>
    <t>observation</t>
  </si>
  <si>
    <t>organizer</t>
  </si>
  <si>
    <t>observe</t>
  </si>
  <si>
    <t>origin</t>
  </si>
  <si>
    <t>obtain</t>
  </si>
  <si>
    <t>obvious</t>
  </si>
  <si>
    <t>onion</t>
  </si>
  <si>
    <t>originally</t>
  </si>
  <si>
    <t>obviously</t>
  </si>
  <si>
    <t>other</t>
  </si>
  <si>
    <t>adj./pron.</t>
  </si>
  <si>
    <t>occasion</t>
  </si>
  <si>
    <t>otherwise</t>
  </si>
  <si>
    <t>occasionally</t>
  </si>
  <si>
    <t>onto</t>
  </si>
  <si>
    <t>occur</t>
  </si>
  <si>
    <t>our</t>
  </si>
  <si>
    <t>ocean</t>
  </si>
  <si>
    <t>opening</t>
  </si>
  <si>
    <t>ours</t>
  </si>
  <si>
    <t>o’clock</t>
  </si>
  <si>
    <t>operate</t>
  </si>
  <si>
    <t>ourselves</t>
  </si>
  <si>
    <t>October</t>
  </si>
  <si>
    <t>operation</t>
  </si>
  <si>
    <t>out</t>
  </si>
  <si>
    <t>adv./prep.</t>
  </si>
  <si>
    <t>odd</t>
  </si>
  <si>
    <t>opinion</t>
  </si>
  <si>
    <t>outcome</t>
  </si>
  <si>
    <t>of</t>
  </si>
  <si>
    <t>opponent</t>
  </si>
  <si>
    <t>outdoor</t>
  </si>
  <si>
    <t>opportunity</t>
  </si>
  <si>
    <t>outdoors</t>
  </si>
  <si>
    <t>offence</t>
  </si>
  <si>
    <t>oppose</t>
  </si>
  <si>
    <t>outer</t>
  </si>
  <si>
    <t>offend</t>
  </si>
  <si>
    <t>opposed</t>
  </si>
  <si>
    <t>offensive</t>
  </si>
  <si>
    <t>opposition</t>
  </si>
  <si>
    <t>oven</t>
  </si>
  <si>
    <t>office</t>
  </si>
  <si>
    <t>option</t>
  </si>
  <si>
    <t>officer</t>
  </si>
  <si>
    <t>or</t>
  </si>
  <si>
    <t>owe</t>
  </si>
  <si>
    <t>often</t>
  </si>
  <si>
    <t>oh</t>
  </si>
  <si>
    <t>ordinary</t>
  </si>
  <si>
    <t>owner</t>
  </si>
  <si>
    <t>preparation</t>
  </si>
  <si>
    <t>piece</t>
  </si>
  <si>
    <t>prepare</t>
  </si>
  <si>
    <t>pig</t>
  </si>
  <si>
    <t>prepared</t>
  </si>
  <si>
    <t>page</t>
  </si>
  <si>
    <t>presence</t>
  </si>
  <si>
    <t>pain</t>
  </si>
  <si>
    <t>pilot</t>
  </si>
  <si>
    <t>painful</t>
  </si>
  <si>
    <t>presentation</t>
  </si>
  <si>
    <t>preserve</t>
  </si>
  <si>
    <t>painter</t>
  </si>
  <si>
    <t>pipe</t>
  </si>
  <si>
    <t>president</t>
  </si>
  <si>
    <t>painting</t>
  </si>
  <si>
    <t>pair</t>
  </si>
  <si>
    <t>pressure</t>
  </si>
  <si>
    <t>palace</t>
  </si>
  <si>
    <t>plain</t>
  </si>
  <si>
    <t>pretend</t>
  </si>
  <si>
    <t>pale</t>
  </si>
  <si>
    <t>pan</t>
  </si>
  <si>
    <t>plane</t>
  </si>
  <si>
    <t>prevent</t>
  </si>
  <si>
    <t>panel</t>
  </si>
  <si>
    <t>planet</t>
  </si>
  <si>
    <t>previous</t>
  </si>
  <si>
    <t>pants</t>
  </si>
  <si>
    <t>planning</t>
  </si>
  <si>
    <t>previously</t>
  </si>
  <si>
    <t>paper</t>
  </si>
  <si>
    <t>paragraph</t>
  </si>
  <si>
    <t>priest</t>
  </si>
  <si>
    <t>parent</t>
  </si>
  <si>
    <t>plate</t>
  </si>
  <si>
    <t>primary</t>
  </si>
  <si>
    <t>platform</t>
  </si>
  <si>
    <t>prime</t>
  </si>
  <si>
    <t>parking</t>
  </si>
  <si>
    <t>prince</t>
  </si>
  <si>
    <t>parliament</t>
  </si>
  <si>
    <t>player</t>
  </si>
  <si>
    <t>princess</t>
  </si>
  <si>
    <t>part</t>
  </si>
  <si>
    <t>pleasant</t>
  </si>
  <si>
    <t>principle</t>
  </si>
  <si>
    <t>participant</t>
  </si>
  <si>
    <t>participate</t>
  </si>
  <si>
    <t>pleased</t>
  </si>
  <si>
    <t>printer</t>
  </si>
  <si>
    <t>particular</t>
  </si>
  <si>
    <t>pleasure</t>
  </si>
  <si>
    <t>printing</t>
  </si>
  <si>
    <t>particularly</t>
  </si>
  <si>
    <t>plenty</t>
  </si>
  <si>
    <t>priority</t>
  </si>
  <si>
    <t>partly</t>
  </si>
  <si>
    <t>prison</t>
  </si>
  <si>
    <t>partner</t>
  </si>
  <si>
    <t>prisoner</t>
  </si>
  <si>
    <t>party</t>
  </si>
  <si>
    <t>pocket</t>
  </si>
  <si>
    <t>privacy</t>
  </si>
  <si>
    <t>poem</t>
  </si>
  <si>
    <t>private</t>
  </si>
  <si>
    <t>passage</t>
  </si>
  <si>
    <t>poet</t>
  </si>
  <si>
    <t>prize</t>
  </si>
  <si>
    <t>passenger</t>
  </si>
  <si>
    <t>poetry</t>
  </si>
  <si>
    <t>probably</t>
  </si>
  <si>
    <t>passion</t>
  </si>
  <si>
    <t>problem</t>
  </si>
  <si>
    <t>passport</t>
  </si>
  <si>
    <t>pointed</t>
  </si>
  <si>
    <t>procedure</t>
  </si>
  <si>
    <t>path</t>
  </si>
  <si>
    <t>poisonous</t>
  </si>
  <si>
    <t>police</t>
  </si>
  <si>
    <t>producer</t>
  </si>
  <si>
    <t>pattern</t>
  </si>
  <si>
    <t>policeman</t>
  </si>
  <si>
    <t>product</t>
  </si>
  <si>
    <t>policy</t>
  </si>
  <si>
    <t>production</t>
  </si>
  <si>
    <t>payment</t>
  </si>
  <si>
    <t>polite</t>
  </si>
  <si>
    <t>profession</t>
  </si>
  <si>
    <t>peace</t>
  </si>
  <si>
    <t>political</t>
  </si>
  <si>
    <t>peaceful</t>
  </si>
  <si>
    <t>politician</t>
  </si>
  <si>
    <t>professor</t>
  </si>
  <si>
    <t>pen</t>
  </si>
  <si>
    <t>politics</t>
  </si>
  <si>
    <t>profile</t>
  </si>
  <si>
    <t>pencil</t>
  </si>
  <si>
    <t>pollution</t>
  </si>
  <si>
    <t>profit</t>
  </si>
  <si>
    <t>penny</t>
  </si>
  <si>
    <t>pool</t>
  </si>
  <si>
    <t>pension1</t>
  </si>
  <si>
    <t>poor</t>
  </si>
  <si>
    <t>programme</t>
  </si>
  <si>
    <t>people</t>
  </si>
  <si>
    <t>pepper</t>
  </si>
  <si>
    <t>popular</t>
  </si>
  <si>
    <t>per</t>
  </si>
  <si>
    <t>popularity</t>
  </si>
  <si>
    <t>population</t>
  </si>
  <si>
    <t>promote</t>
  </si>
  <si>
    <t>percentage</t>
  </si>
  <si>
    <t>port</t>
  </si>
  <si>
    <t>pronounce</t>
  </si>
  <si>
    <t>perfect</t>
  </si>
  <si>
    <t>portrait</t>
  </si>
  <si>
    <t>proof</t>
  </si>
  <si>
    <t>perfectly</t>
  </si>
  <si>
    <t>pose</t>
  </si>
  <si>
    <t>proper</t>
  </si>
  <si>
    <t>perform</t>
  </si>
  <si>
    <t>properly</t>
  </si>
  <si>
    <t>performance</t>
  </si>
  <si>
    <t>property</t>
  </si>
  <si>
    <t>perhaps</t>
  </si>
  <si>
    <t>possess</t>
  </si>
  <si>
    <t>proposal</t>
  </si>
  <si>
    <t>period</t>
  </si>
  <si>
    <t>possession</t>
  </si>
  <si>
    <t>propose</t>
  </si>
  <si>
    <t>permanent</t>
  </si>
  <si>
    <t>possibility</t>
  </si>
  <si>
    <t>prospect</t>
  </si>
  <si>
    <t>permission</t>
  </si>
  <si>
    <t>possible</t>
  </si>
  <si>
    <t>protect</t>
  </si>
  <si>
    <t>possibly</t>
  </si>
  <si>
    <t>protection</t>
  </si>
  <si>
    <t>person</t>
  </si>
  <si>
    <t>personal</t>
  </si>
  <si>
    <t>poster</t>
  </si>
  <si>
    <t>proud</t>
  </si>
  <si>
    <t>personality</t>
  </si>
  <si>
    <t>pot</t>
  </si>
  <si>
    <t>prove</t>
  </si>
  <si>
    <t>personally</t>
  </si>
  <si>
    <t>potato</t>
  </si>
  <si>
    <t>provide</t>
  </si>
  <si>
    <t>perspective</t>
  </si>
  <si>
    <t>psychologist</t>
  </si>
  <si>
    <t>persuade</t>
  </si>
  <si>
    <t>pound</t>
  </si>
  <si>
    <t>psychology</t>
  </si>
  <si>
    <t>pet</t>
  </si>
  <si>
    <t>pour</t>
  </si>
  <si>
    <t>pub</t>
  </si>
  <si>
    <t>petrol</t>
  </si>
  <si>
    <t>poverty</t>
  </si>
  <si>
    <t>phase</t>
  </si>
  <si>
    <t>powder</t>
  </si>
  <si>
    <t>publication</t>
  </si>
  <si>
    <t>phenomenon</t>
  </si>
  <si>
    <t>publish</t>
  </si>
  <si>
    <t>philosophy</t>
  </si>
  <si>
    <t>powerful</t>
  </si>
  <si>
    <t>practical</t>
  </si>
  <si>
    <t>punish</t>
  </si>
  <si>
    <t>photo</t>
  </si>
  <si>
    <t>practice</t>
  </si>
  <si>
    <t>punishment</t>
  </si>
  <si>
    <t>practise</t>
  </si>
  <si>
    <t>pupil</t>
  </si>
  <si>
    <t>photographer</t>
  </si>
  <si>
    <t>photography</t>
  </si>
  <si>
    <t>pray</t>
  </si>
  <si>
    <t>pure</t>
  </si>
  <si>
    <t>phrase</t>
  </si>
  <si>
    <t>prayer</t>
  </si>
  <si>
    <t>physical</t>
  </si>
  <si>
    <t>predict</t>
  </si>
  <si>
    <t>purpose</t>
  </si>
  <si>
    <t>physics</t>
  </si>
  <si>
    <t>prediction</t>
  </si>
  <si>
    <t>pursue</t>
  </si>
  <si>
    <t>piano</t>
  </si>
  <si>
    <t>prefer</t>
  </si>
  <si>
    <t>pregnant</t>
  </si>
  <si>
    <t>put</t>
  </si>
  <si>
    <t>qualification</t>
  </si>
  <si>
    <t>queen</t>
  </si>
  <si>
    <t>quietly</t>
  </si>
  <si>
    <t>qualified</t>
  </si>
  <si>
    <t>quit</t>
  </si>
  <si>
    <t>qualify</t>
  </si>
  <si>
    <t>quite</t>
  </si>
  <si>
    <t>quality</t>
  </si>
  <si>
    <t>quick</t>
  </si>
  <si>
    <t>quotation</t>
  </si>
  <si>
    <t>quantity</t>
  </si>
  <si>
    <t>quickly</t>
  </si>
  <si>
    <t>quarter</t>
  </si>
  <si>
    <t>quiet</t>
  </si>
  <si>
    <t>responsible</t>
  </si>
  <si>
    <t>regular</t>
  </si>
  <si>
    <t>racing</t>
  </si>
  <si>
    <t>regularly</t>
  </si>
  <si>
    <t>radio</t>
  </si>
  <si>
    <t>regulation</t>
  </si>
  <si>
    <t>restaurant</t>
  </si>
  <si>
    <t>railway</t>
  </si>
  <si>
    <t>reject</t>
  </si>
  <si>
    <t>relate</t>
  </si>
  <si>
    <t>retain</t>
  </si>
  <si>
    <t>raise</t>
  </si>
  <si>
    <t>related</t>
  </si>
  <si>
    <t>retire</t>
  </si>
  <si>
    <t>relation</t>
  </si>
  <si>
    <t>retired</t>
  </si>
  <si>
    <t>relationship</t>
  </si>
  <si>
    <t>rapid</t>
  </si>
  <si>
    <t>reveal</t>
  </si>
  <si>
    <t>rapidly</t>
  </si>
  <si>
    <t>relatively</t>
  </si>
  <si>
    <t>rare</t>
  </si>
  <si>
    <t>relax</t>
  </si>
  <si>
    <t>revise</t>
  </si>
  <si>
    <t>rarely</t>
  </si>
  <si>
    <t>relaxed</t>
  </si>
  <si>
    <t>revolution</t>
  </si>
  <si>
    <t>relaxing</t>
  </si>
  <si>
    <t>rather</t>
  </si>
  <si>
    <t>rhythm</t>
  </si>
  <si>
    <t>raw</t>
  </si>
  <si>
    <t>relevant</t>
  </si>
  <si>
    <t>rice</t>
  </si>
  <si>
    <t>reliable</t>
  </si>
  <si>
    <t>rich</t>
  </si>
  <si>
    <t>react</t>
  </si>
  <si>
    <t>relief</t>
  </si>
  <si>
    <t>rid</t>
  </si>
  <si>
    <t>reaction</t>
  </si>
  <si>
    <t>religion</t>
  </si>
  <si>
    <t>read</t>
  </si>
  <si>
    <t>religious</t>
  </si>
  <si>
    <t>reader</t>
  </si>
  <si>
    <t>rely</t>
  </si>
  <si>
    <t>ring1</t>
  </si>
  <si>
    <t>reading</t>
  </si>
  <si>
    <t>remain</t>
  </si>
  <si>
    <t>ready</t>
  </si>
  <si>
    <t>real</t>
  </si>
  <si>
    <t>remember</t>
  </si>
  <si>
    <t>realistic</t>
  </si>
  <si>
    <t>remind</t>
  </si>
  <si>
    <t>river</t>
  </si>
  <si>
    <t>reality</t>
  </si>
  <si>
    <t>remote</t>
  </si>
  <si>
    <t>road</t>
  </si>
  <si>
    <t>realize</t>
  </si>
  <si>
    <t>remove</t>
  </si>
  <si>
    <t>robot</t>
  </si>
  <si>
    <t>really</t>
  </si>
  <si>
    <t>reason</t>
  </si>
  <si>
    <t>reasonable</t>
  </si>
  <si>
    <t>role</t>
  </si>
  <si>
    <t>recall</t>
  </si>
  <si>
    <t>repeated</t>
  </si>
  <si>
    <t>receipt</t>
  </si>
  <si>
    <t>replace</t>
  </si>
  <si>
    <t>romantic</t>
  </si>
  <si>
    <t>receive</t>
  </si>
  <si>
    <t>roof</t>
  </si>
  <si>
    <t>recent</t>
  </si>
  <si>
    <t>room</t>
  </si>
  <si>
    <t>recently</t>
  </si>
  <si>
    <t>reporter</t>
  </si>
  <si>
    <t>root</t>
  </si>
  <si>
    <t>reception</t>
  </si>
  <si>
    <t>represent</t>
  </si>
  <si>
    <t>rope</t>
  </si>
  <si>
    <t>recipe</t>
  </si>
  <si>
    <t>rough</t>
  </si>
  <si>
    <t>recognize</t>
  </si>
  <si>
    <t>reputation</t>
  </si>
  <si>
    <t>recommend</t>
  </si>
  <si>
    <t>route</t>
  </si>
  <si>
    <t>recommendation</t>
  </si>
  <si>
    <t>require</t>
  </si>
  <si>
    <t>requirement</t>
  </si>
  <si>
    <t>row1</t>
  </si>
  <si>
    <t>recording</t>
  </si>
  <si>
    <t>royal</t>
  </si>
  <si>
    <t>recover</t>
  </si>
  <si>
    <t>rub</t>
  </si>
  <si>
    <t>recycle</t>
  </si>
  <si>
    <t>researcher</t>
  </si>
  <si>
    <t>reservation</t>
  </si>
  <si>
    <t>rubbish</t>
  </si>
  <si>
    <t>reduce</t>
  </si>
  <si>
    <t>rude</t>
  </si>
  <si>
    <t>reduction</t>
  </si>
  <si>
    <t>rugby</t>
  </si>
  <si>
    <t>refer</t>
  </si>
  <si>
    <t>resist</t>
  </si>
  <si>
    <t>reference</t>
  </si>
  <si>
    <t>resolve</t>
  </si>
  <si>
    <t>reflect</t>
  </si>
  <si>
    <t>resort</t>
  </si>
  <si>
    <t>runner</t>
  </si>
  <si>
    <t>refuse1</t>
  </si>
  <si>
    <t>resource</t>
  </si>
  <si>
    <t>running</t>
  </si>
  <si>
    <t>rural</t>
  </si>
  <si>
    <t>region</t>
  </si>
  <si>
    <t>respond</t>
  </si>
  <si>
    <t>regional</t>
  </si>
  <si>
    <t>response</t>
  </si>
  <si>
    <t>responsibility</t>
  </si>
  <si>
    <t>sad</t>
  </si>
  <si>
    <t>spoken</t>
  </si>
  <si>
    <t>sadly</t>
  </si>
  <si>
    <t>shoulder</t>
  </si>
  <si>
    <t>safe</t>
  </si>
  <si>
    <t>spoon</t>
  </si>
  <si>
    <t>safety</t>
  </si>
  <si>
    <t>sport</t>
  </si>
  <si>
    <t>shower</t>
  </si>
  <si>
    <t>sailing</t>
  </si>
  <si>
    <t>sailor</t>
  </si>
  <si>
    <t>shy</t>
  </si>
  <si>
    <t>salad</t>
  </si>
  <si>
    <t>sick</t>
  </si>
  <si>
    <t>salary</t>
  </si>
  <si>
    <t>side</t>
  </si>
  <si>
    <t>stable</t>
  </si>
  <si>
    <t>sale</t>
  </si>
  <si>
    <t>sight</t>
  </si>
  <si>
    <t>stadium</t>
  </si>
  <si>
    <t>salt</t>
  </si>
  <si>
    <t>staff</t>
  </si>
  <si>
    <t>significant</t>
  </si>
  <si>
    <t>stair</t>
  </si>
  <si>
    <t>sand</t>
  </si>
  <si>
    <t>significantly</t>
  </si>
  <si>
    <t>stamp</t>
  </si>
  <si>
    <t>sandwich</t>
  </si>
  <si>
    <t>silence</t>
  </si>
  <si>
    <t>satellite</t>
  </si>
  <si>
    <t>silent</t>
  </si>
  <si>
    <t>satisfied</t>
  </si>
  <si>
    <t>silk</t>
  </si>
  <si>
    <t>satisfy</t>
  </si>
  <si>
    <t>silly</t>
  </si>
  <si>
    <t>stare</t>
  </si>
  <si>
    <t>Saturday</t>
  </si>
  <si>
    <t>sauce</t>
  </si>
  <si>
    <t>similar</t>
  </si>
  <si>
    <t>save</t>
  </si>
  <si>
    <t>similarity</t>
  </si>
  <si>
    <t>statement</t>
  </si>
  <si>
    <t>saving</t>
  </si>
  <si>
    <t>similarly</t>
  </si>
  <si>
    <t>station</t>
  </si>
  <si>
    <t>say</t>
  </si>
  <si>
    <t>simple</t>
  </si>
  <si>
    <t>statistic</t>
  </si>
  <si>
    <t>scale</t>
  </si>
  <si>
    <t>simply</t>
  </si>
  <si>
    <t>statue</t>
  </si>
  <si>
    <t>scan</t>
  </si>
  <si>
    <t>status</t>
  </si>
  <si>
    <t>scared</t>
  </si>
  <si>
    <t>sincere</t>
  </si>
  <si>
    <t>scary</t>
  </si>
  <si>
    <t>sing</t>
  </si>
  <si>
    <t>steady</t>
  </si>
  <si>
    <t>scene</t>
  </si>
  <si>
    <t>singer</t>
  </si>
  <si>
    <t>steal</t>
  </si>
  <si>
    <t>singing</t>
  </si>
  <si>
    <t>steel</t>
  </si>
  <si>
    <t>scheme</t>
  </si>
  <si>
    <t>steep</t>
  </si>
  <si>
    <t>school</t>
  </si>
  <si>
    <t>sink</t>
  </si>
  <si>
    <t>science</t>
  </si>
  <si>
    <t>sir</t>
  </si>
  <si>
    <t>scientific</t>
  </si>
  <si>
    <t>sister</t>
  </si>
  <si>
    <t>scientist</t>
  </si>
  <si>
    <t>sit</t>
  </si>
  <si>
    <t>sticky</t>
  </si>
  <si>
    <t>site</t>
  </si>
  <si>
    <t>stiff</t>
  </si>
  <si>
    <t>situation</t>
  </si>
  <si>
    <t>six</t>
  </si>
  <si>
    <t>stock</t>
  </si>
  <si>
    <t>script</t>
  </si>
  <si>
    <t>sixteen</t>
  </si>
  <si>
    <t>stomach</t>
  </si>
  <si>
    <t>sculpture</t>
  </si>
  <si>
    <t>sixty</t>
  </si>
  <si>
    <t>stone</t>
  </si>
  <si>
    <t>sea</t>
  </si>
  <si>
    <t>size</t>
  </si>
  <si>
    <t>season</t>
  </si>
  <si>
    <t>skiing</t>
  </si>
  <si>
    <t>storm</t>
  </si>
  <si>
    <t>skill</t>
  </si>
  <si>
    <t>story</t>
  </si>
  <si>
    <t>skin</t>
  </si>
  <si>
    <t>skirt</t>
  </si>
  <si>
    <t>strange</t>
  </si>
  <si>
    <t>secondary</t>
  </si>
  <si>
    <t>sky</t>
  </si>
  <si>
    <t>stranger</t>
  </si>
  <si>
    <t>secondly</t>
  </si>
  <si>
    <t>slave</t>
  </si>
  <si>
    <t>strategy</t>
  </si>
  <si>
    <t>stream</t>
  </si>
  <si>
    <t>secretary</t>
  </si>
  <si>
    <t>street</t>
  </si>
  <si>
    <t>section</t>
  </si>
  <si>
    <t>strength</t>
  </si>
  <si>
    <t>sector</t>
  </si>
  <si>
    <t>slight</t>
  </si>
  <si>
    <t>slightly</t>
  </si>
  <si>
    <t>security</t>
  </si>
  <si>
    <t>slip</t>
  </si>
  <si>
    <t>strict</t>
  </si>
  <si>
    <t>see</t>
  </si>
  <si>
    <t>v.,</t>
  </si>
  <si>
    <t>seed</t>
  </si>
  <si>
    <t>string</t>
  </si>
  <si>
    <t>seek</t>
  </si>
  <si>
    <t>slowly</t>
  </si>
  <si>
    <t>strong</t>
  </si>
  <si>
    <t>seem</t>
  </si>
  <si>
    <t>small</t>
  </si>
  <si>
    <t>strongly</t>
  </si>
  <si>
    <t>select</t>
  </si>
  <si>
    <t>smart</t>
  </si>
  <si>
    <t>selection</t>
  </si>
  <si>
    <t>smartphone</t>
  </si>
  <si>
    <t>self</t>
  </si>
  <si>
    <t>student</t>
  </si>
  <si>
    <t>sell</t>
  </si>
  <si>
    <t>studio</t>
  </si>
  <si>
    <t>send</t>
  </si>
  <si>
    <t>senior</t>
  </si>
  <si>
    <t>smoking</t>
  </si>
  <si>
    <t>smooth</t>
  </si>
  <si>
    <t>stupid</t>
  </si>
  <si>
    <t>sensible</t>
  </si>
  <si>
    <t>snake</t>
  </si>
  <si>
    <t>style</t>
  </si>
  <si>
    <t>sensitive</t>
  </si>
  <si>
    <t>submit</t>
  </si>
  <si>
    <t>soap</t>
  </si>
  <si>
    <t>substance</t>
  </si>
  <si>
    <t>September</t>
  </si>
  <si>
    <t>soccer</t>
  </si>
  <si>
    <t>succeed</t>
  </si>
  <si>
    <t>sequence</t>
  </si>
  <si>
    <t>social</t>
  </si>
  <si>
    <t>success</t>
  </si>
  <si>
    <t>series</t>
  </si>
  <si>
    <t>society</t>
  </si>
  <si>
    <t>successful</t>
  </si>
  <si>
    <t>serious</t>
  </si>
  <si>
    <t>sock</t>
  </si>
  <si>
    <t>successfully</t>
  </si>
  <si>
    <t>seriously</t>
  </si>
  <si>
    <t>soft</t>
  </si>
  <si>
    <t>such</t>
  </si>
  <si>
    <t>servant</t>
  </si>
  <si>
    <t>software</t>
  </si>
  <si>
    <t>sudden</t>
  </si>
  <si>
    <t>serve</t>
  </si>
  <si>
    <t>soil</t>
  </si>
  <si>
    <t>suddenly</t>
  </si>
  <si>
    <t>service</t>
  </si>
  <si>
    <t>solar</t>
  </si>
  <si>
    <t>suffer</t>
  </si>
  <si>
    <t>session</t>
  </si>
  <si>
    <t>soldier</t>
  </si>
  <si>
    <t>sugar</t>
  </si>
  <si>
    <t>suggest</t>
  </si>
  <si>
    <t>solution</t>
  </si>
  <si>
    <t>suggestion</t>
  </si>
  <si>
    <t>setting</t>
  </si>
  <si>
    <t>solve</t>
  </si>
  <si>
    <t>settle</t>
  </si>
  <si>
    <t>suitable</t>
  </si>
  <si>
    <t>seven</t>
  </si>
  <si>
    <t>somebody</t>
  </si>
  <si>
    <t>seventeen</t>
  </si>
  <si>
    <t>someone</t>
  </si>
  <si>
    <t>summarize</t>
  </si>
  <si>
    <t>seventy</t>
  </si>
  <si>
    <t>something</t>
  </si>
  <si>
    <t>summary</t>
  </si>
  <si>
    <t>several</t>
  </si>
  <si>
    <t>sometimes</t>
  </si>
  <si>
    <t>summer</t>
  </si>
  <si>
    <t>severe</t>
  </si>
  <si>
    <t>somewhat</t>
  </si>
  <si>
    <t>sun</t>
  </si>
  <si>
    <t>sex</t>
  </si>
  <si>
    <t>Sunday</t>
  </si>
  <si>
    <t>sexual</t>
  </si>
  <si>
    <t>son</t>
  </si>
  <si>
    <t>supermarket</t>
  </si>
  <si>
    <t>shade</t>
  </si>
  <si>
    <t>song</t>
  </si>
  <si>
    <t>shadow</t>
  </si>
  <si>
    <t>soon</t>
  </si>
  <si>
    <t>supporter</t>
  </si>
  <si>
    <t>suppose</t>
  </si>
  <si>
    <t>shallow</t>
  </si>
  <si>
    <t>soul</t>
  </si>
  <si>
    <t>shame</t>
  </si>
  <si>
    <t>surely</t>
  </si>
  <si>
    <t>soup</t>
  </si>
  <si>
    <t>surface</t>
  </si>
  <si>
    <t>source</t>
  </si>
  <si>
    <t>surgery</t>
  </si>
  <si>
    <t>sharp</t>
  </si>
  <si>
    <t>she</t>
  </si>
  <si>
    <t>southern</t>
  </si>
  <si>
    <t>surprised</t>
  </si>
  <si>
    <t>sheep</t>
  </si>
  <si>
    <t>space</t>
  </si>
  <si>
    <t>surprising</t>
  </si>
  <si>
    <t>sheet</t>
  </si>
  <si>
    <t>speak</t>
  </si>
  <si>
    <t>surround</t>
  </si>
  <si>
    <t>shelf</t>
  </si>
  <si>
    <t>speaker</t>
  </si>
  <si>
    <t>surrounding</t>
  </si>
  <si>
    <t>shell</t>
  </si>
  <si>
    <t>special</t>
  </si>
  <si>
    <t>survive</t>
  </si>
  <si>
    <t>species</t>
  </si>
  <si>
    <t>shine</t>
  </si>
  <si>
    <t>specific</t>
  </si>
  <si>
    <t>swear</t>
  </si>
  <si>
    <t>shiny</t>
  </si>
  <si>
    <t>specifically</t>
  </si>
  <si>
    <t>sweater</t>
  </si>
  <si>
    <t>speech</t>
  </si>
  <si>
    <t>sweep</t>
  </si>
  <si>
    <t>shirt</t>
  </si>
  <si>
    <t>spell</t>
  </si>
  <si>
    <t>shocked</t>
  </si>
  <si>
    <t>spelling</t>
  </si>
  <si>
    <t>swimming</t>
  </si>
  <si>
    <t>shoe</t>
  </si>
  <si>
    <t>spend</t>
  </si>
  <si>
    <t>shoot</t>
  </si>
  <si>
    <t>spending</t>
  </si>
  <si>
    <t>symbol</t>
  </si>
  <si>
    <t>shooting</t>
  </si>
  <si>
    <t>spicy</t>
  </si>
  <si>
    <t>sympathy</t>
  </si>
  <si>
    <t>spider</t>
  </si>
  <si>
    <t>symptom</t>
  </si>
  <si>
    <t>shopping</t>
  </si>
  <si>
    <t>spirit</t>
  </si>
  <si>
    <t>system</t>
  </si>
  <si>
    <t>short</t>
  </si>
  <si>
    <t>spiritual</t>
  </si>
  <si>
    <t>shot</t>
  </si>
  <si>
    <t>table</t>
  </si>
  <si>
    <t>therefore</t>
  </si>
  <si>
    <t>tourism</t>
  </si>
  <si>
    <t>tablet</t>
  </si>
  <si>
    <t>they</t>
  </si>
  <si>
    <t>tourist</t>
  </si>
  <si>
    <t>tail</t>
  </si>
  <si>
    <t>thick</t>
  </si>
  <si>
    <t>towards</t>
  </si>
  <si>
    <t>take</t>
  </si>
  <si>
    <t>thief</t>
  </si>
  <si>
    <t>towel</t>
  </si>
  <si>
    <t>tale</t>
  </si>
  <si>
    <t>thin</t>
  </si>
  <si>
    <t>tower</t>
  </si>
  <si>
    <t>talent</t>
  </si>
  <si>
    <t>thing</t>
  </si>
  <si>
    <t>town</t>
  </si>
  <si>
    <t>talented</t>
  </si>
  <si>
    <t>think</t>
  </si>
  <si>
    <t>thinking</t>
  </si>
  <si>
    <t>tall</t>
  </si>
  <si>
    <t>tank</t>
  </si>
  <si>
    <t>thirsty</t>
  </si>
  <si>
    <t>tradition</t>
  </si>
  <si>
    <t>tape</t>
  </si>
  <si>
    <t>thirteen</t>
  </si>
  <si>
    <t>traditional</t>
  </si>
  <si>
    <t>thirty</t>
  </si>
  <si>
    <t>traffic</t>
  </si>
  <si>
    <t>task</t>
  </si>
  <si>
    <t>trainer</t>
  </si>
  <si>
    <t>thought</t>
  </si>
  <si>
    <t>training</t>
  </si>
  <si>
    <t>taxi</t>
  </si>
  <si>
    <t>thousand</t>
  </si>
  <si>
    <t>tea</t>
  </si>
  <si>
    <t>threat</t>
  </si>
  <si>
    <t>transform</t>
  </si>
  <si>
    <t>teach</t>
  </si>
  <si>
    <t>threaten</t>
  </si>
  <si>
    <t>transition</t>
  </si>
  <si>
    <t>teacher</t>
  </si>
  <si>
    <t>three</t>
  </si>
  <si>
    <t>translate</t>
  </si>
  <si>
    <t>teaching</t>
  </si>
  <si>
    <t>throat</t>
  </si>
  <si>
    <t>translation</t>
  </si>
  <si>
    <t>team</t>
  </si>
  <si>
    <t>throughout</t>
  </si>
  <si>
    <t>prep./adv.</t>
  </si>
  <si>
    <t>tear2</t>
  </si>
  <si>
    <t>throw</t>
  </si>
  <si>
    <t>traveller</t>
  </si>
  <si>
    <t>technical</t>
  </si>
  <si>
    <t>Thursday</t>
  </si>
  <si>
    <t>treat</t>
  </si>
  <si>
    <t>technique</t>
  </si>
  <si>
    <t>thus</t>
  </si>
  <si>
    <t>treatment</t>
  </si>
  <si>
    <t>technology</t>
  </si>
  <si>
    <t>ticket</t>
  </si>
  <si>
    <t>tree</t>
  </si>
  <si>
    <t>teenage</t>
  </si>
  <si>
    <t>trend</t>
  </si>
  <si>
    <t>teenager</t>
  </si>
  <si>
    <t>trial</t>
  </si>
  <si>
    <t>tight</t>
  </si>
  <si>
    <t>television</t>
  </si>
  <si>
    <t>till</t>
  </si>
  <si>
    <t>conj./prep.</t>
  </si>
  <si>
    <t>tell</t>
  </si>
  <si>
    <t>tropical</t>
  </si>
  <si>
    <t>temperature</t>
  </si>
  <si>
    <t>tin</t>
  </si>
  <si>
    <t>temporary</t>
  </si>
  <si>
    <t>tiny</t>
  </si>
  <si>
    <t>trousers</t>
  </si>
  <si>
    <t>ten</t>
  </si>
  <si>
    <t>truck</t>
  </si>
  <si>
    <t>tend</t>
  </si>
  <si>
    <t>tired</t>
  </si>
  <si>
    <t>true</t>
  </si>
  <si>
    <t>tennis</t>
  </si>
  <si>
    <t>truly</t>
  </si>
  <si>
    <t>tent</t>
  </si>
  <si>
    <t>truth</t>
  </si>
  <si>
    <t>terrible</t>
  </si>
  <si>
    <t>toe</t>
  </si>
  <si>
    <t>together</t>
  </si>
  <si>
    <t>T-shirt</t>
  </si>
  <si>
    <t>toilet</t>
  </si>
  <si>
    <t>tube</t>
  </si>
  <si>
    <t>than</t>
  </si>
  <si>
    <t>tomato</t>
  </si>
  <si>
    <t>Tuesday</t>
  </si>
  <si>
    <t>thank</t>
  </si>
  <si>
    <t>tune</t>
  </si>
  <si>
    <t>tone</t>
  </si>
  <si>
    <t>tunnel</t>
  </si>
  <si>
    <t>tongue</t>
  </si>
  <si>
    <t>TV</t>
  </si>
  <si>
    <t>theatre</t>
  </si>
  <si>
    <t>too</t>
  </si>
  <si>
    <t>twelve</t>
  </si>
  <si>
    <t>their</t>
  </si>
  <si>
    <t>tool</t>
  </si>
  <si>
    <t>twenty</t>
  </si>
  <si>
    <t>theirs</t>
  </si>
  <si>
    <t>tooth</t>
  </si>
  <si>
    <t>twice</t>
  </si>
  <si>
    <t>them</t>
  </si>
  <si>
    <t>theme</t>
  </si>
  <si>
    <t>topic</t>
  </si>
  <si>
    <t>two</t>
  </si>
  <si>
    <t>themselves</t>
  </si>
  <si>
    <t>then</t>
  </si>
  <si>
    <t>totally</t>
  </si>
  <si>
    <t>typical</t>
  </si>
  <si>
    <t>theory</t>
  </si>
  <si>
    <t>typically</t>
  </si>
  <si>
    <t>therapy</t>
  </si>
  <si>
    <t>tough</t>
  </si>
  <si>
    <t>tyre</t>
  </si>
  <si>
    <t>there</t>
  </si>
  <si>
    <t>ugly</t>
  </si>
  <si>
    <t>unhappy</t>
  </si>
  <si>
    <t>ultimately</t>
  </si>
  <si>
    <t>uniform</t>
  </si>
  <si>
    <t>upon</t>
  </si>
  <si>
    <t>umbrella</t>
  </si>
  <si>
    <t>union</t>
  </si>
  <si>
    <t>upper</t>
  </si>
  <si>
    <t>unable</t>
  </si>
  <si>
    <t>unique</t>
  </si>
  <si>
    <t>uncle</t>
  </si>
  <si>
    <t>unit</t>
  </si>
  <si>
    <t>uncomfortable</t>
  </si>
  <si>
    <t>united</t>
  </si>
  <si>
    <t>upwards</t>
  </si>
  <si>
    <t>unconscious</t>
  </si>
  <si>
    <t>universe</t>
  </si>
  <si>
    <t>urban</t>
  </si>
  <si>
    <t>university</t>
  </si>
  <si>
    <t>urge</t>
  </si>
  <si>
    <t>unknown</t>
  </si>
  <si>
    <t>us</t>
  </si>
  <si>
    <t>understand</t>
  </si>
  <si>
    <t>unless</t>
  </si>
  <si>
    <t>understanding</t>
  </si>
  <si>
    <t>unlike</t>
  </si>
  <si>
    <t>used1</t>
  </si>
  <si>
    <t>underwear</t>
  </si>
  <si>
    <t>unlikely</t>
  </si>
  <si>
    <t>used2</t>
  </si>
  <si>
    <t>unemployed</t>
  </si>
  <si>
    <t>unnecessary</t>
  </si>
  <si>
    <t>unemployment</t>
  </si>
  <si>
    <t>unpleasant</t>
  </si>
  <si>
    <t>useful</t>
  </si>
  <si>
    <t>unexpected</t>
  </si>
  <si>
    <t>until</t>
  </si>
  <si>
    <t>user</t>
  </si>
  <si>
    <t>unfair</t>
  </si>
  <si>
    <t>unusual</t>
  </si>
  <si>
    <t>usual</t>
  </si>
  <si>
    <t>unfortunately</t>
  </si>
  <si>
    <t>usually</t>
  </si>
  <si>
    <t>vacation</t>
  </si>
  <si>
    <t>version</t>
  </si>
  <si>
    <t>virus</t>
  </si>
  <si>
    <t>valley</t>
  </si>
  <si>
    <t>vision</t>
  </si>
  <si>
    <t>valuable</t>
  </si>
  <si>
    <t>via</t>
  </si>
  <si>
    <t>victim</t>
  </si>
  <si>
    <t>visitor</t>
  </si>
  <si>
    <t>van</t>
  </si>
  <si>
    <t>victory</t>
  </si>
  <si>
    <t>visual</t>
  </si>
  <si>
    <t>variety</t>
  </si>
  <si>
    <t>video</t>
  </si>
  <si>
    <t>vital</t>
  </si>
  <si>
    <t>various</t>
  </si>
  <si>
    <t>vitamin</t>
  </si>
  <si>
    <t>vary</t>
  </si>
  <si>
    <t>viewer</t>
  </si>
  <si>
    <t>voice</t>
  </si>
  <si>
    <t>vast</t>
  </si>
  <si>
    <t>village</t>
  </si>
  <si>
    <t>volume</t>
  </si>
  <si>
    <t>vegetable</t>
  </si>
  <si>
    <t>violence</t>
  </si>
  <si>
    <t>vehicle</t>
  </si>
  <si>
    <t>violent</t>
  </si>
  <si>
    <t>venue</t>
  </si>
  <si>
    <t>virtual</t>
  </si>
  <si>
    <t>wage</t>
  </si>
  <si>
    <t>winner</t>
  </si>
  <si>
    <t>winter</t>
  </si>
  <si>
    <t>waiter</t>
  </si>
  <si>
    <t>western</t>
  </si>
  <si>
    <t>wire</t>
  </si>
  <si>
    <t>wake</t>
  </si>
  <si>
    <t>wet</t>
  </si>
  <si>
    <t>wise</t>
  </si>
  <si>
    <t>what</t>
  </si>
  <si>
    <t>pron./det.</t>
  </si>
  <si>
    <t>wall</t>
  </si>
  <si>
    <t>whatever</t>
  </si>
  <si>
    <t>with</t>
  </si>
  <si>
    <t>want</t>
  </si>
  <si>
    <t>wheel</t>
  </si>
  <si>
    <t>within</t>
  </si>
  <si>
    <t>war</t>
  </si>
  <si>
    <t>without</t>
  </si>
  <si>
    <t>whenever</t>
  </si>
  <si>
    <t>warn</t>
  </si>
  <si>
    <t>woman</t>
  </si>
  <si>
    <t>warning</t>
  </si>
  <si>
    <t>whereas</t>
  </si>
  <si>
    <t>wherever</t>
  </si>
  <si>
    <t>wonderful</t>
  </si>
  <si>
    <t>washing</t>
  </si>
  <si>
    <t>whether</t>
  </si>
  <si>
    <t>wood</t>
  </si>
  <si>
    <t>which</t>
  </si>
  <si>
    <t>wooden</t>
  </si>
  <si>
    <t>wool</t>
  </si>
  <si>
    <t>word</t>
  </si>
  <si>
    <t>who</t>
  </si>
  <si>
    <t>worker</t>
  </si>
  <si>
    <t>we</t>
  </si>
  <si>
    <t>working</t>
  </si>
  <si>
    <t>weak</t>
  </si>
  <si>
    <t>whom</t>
  </si>
  <si>
    <t>world</t>
  </si>
  <si>
    <t>weakness</t>
  </si>
  <si>
    <t>whose</t>
  </si>
  <si>
    <t>wealth</t>
  </si>
  <si>
    <t>why</t>
  </si>
  <si>
    <t>worried</t>
  </si>
  <si>
    <t>wealthy</t>
  </si>
  <si>
    <t>wide</t>
  </si>
  <si>
    <t>weapon</t>
  </si>
  <si>
    <t>widely</t>
  </si>
  <si>
    <t>wear</t>
  </si>
  <si>
    <t>wife</t>
  </si>
  <si>
    <t>weather</t>
  </si>
  <si>
    <t>wild</t>
  </si>
  <si>
    <t>web</t>
  </si>
  <si>
    <t>wildlife</t>
  </si>
  <si>
    <t>website</t>
  </si>
  <si>
    <t>wedding</t>
  </si>
  <si>
    <t>willing</t>
  </si>
  <si>
    <t>wow</t>
  </si>
  <si>
    <t>Wednesday</t>
  </si>
  <si>
    <t>wrap</t>
  </si>
  <si>
    <t>week</t>
  </si>
  <si>
    <t>wind1</t>
  </si>
  <si>
    <t>write</t>
  </si>
  <si>
    <t>weekend</t>
  </si>
  <si>
    <t>wind2</t>
  </si>
  <si>
    <t>writer</t>
  </si>
  <si>
    <t>weigh</t>
  </si>
  <si>
    <t>window</t>
  </si>
  <si>
    <t>writing</t>
  </si>
  <si>
    <t>weight</t>
  </si>
  <si>
    <t>wine</t>
  </si>
  <si>
    <t>written</t>
  </si>
  <si>
    <t>wing</t>
  </si>
  <si>
    <t>yard</t>
  </si>
  <si>
    <t>yours</t>
  </si>
  <si>
    <t>yeah</t>
  </si>
  <si>
    <t>yourself</t>
  </si>
  <si>
    <t>year</t>
  </si>
  <si>
    <t>you</t>
  </si>
  <si>
    <t>youth</t>
  </si>
  <si>
    <t>yes</t>
  </si>
  <si>
    <t>your</t>
  </si>
  <si>
    <t>zero</t>
  </si>
  <si>
    <t>zone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</si>
</sst>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color theme="1"/>
      <name val="Calibri"/>
      <scheme val="minor"/>
    </font>
    <font>
      <sz val="11.0"/>
      <color rgb="FF111827"/>
      <name val="&quot;Söhne Mono&quot;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2" t="s">
        <v>3</v>
      </c>
    </row>
    <row r="2">
      <c r="A2" s="2" t="s">
        <v>4</v>
      </c>
      <c r="B2" s="3" t="s">
        <v>5</v>
      </c>
      <c r="C2" s="3" t="s">
        <v>6</v>
      </c>
      <c r="D2" s="4" t="str">
        <f>IFERROR(__xludf.DUMMYFUNCTION("GOOGLETRANSLATE(A2, ""en"", ""zh-CN"")"),"一个")</f>
        <v>一个</v>
      </c>
    </row>
    <row r="3">
      <c r="A3" s="3" t="s">
        <v>7</v>
      </c>
      <c r="B3" s="3" t="s">
        <v>8</v>
      </c>
      <c r="C3" s="3" t="s">
        <v>9</v>
      </c>
      <c r="D3" s="4" t="str">
        <f>IFERROR(__xludf.DUMMYFUNCTION("GOOGLETRANSLATE(A3, ""en"", ""zh-CN"")"),"协议")</f>
        <v>协议</v>
      </c>
    </row>
    <row r="4">
      <c r="A4" s="3" t="s">
        <v>10</v>
      </c>
      <c r="B4" s="3" t="s">
        <v>8</v>
      </c>
      <c r="C4" s="3" t="s">
        <v>9</v>
      </c>
      <c r="D4" s="4" t="str">
        <f>IFERROR(__xludf.DUMMYFUNCTION("GOOGLETRANSLATE(A4, ""en"", ""zh-CN"")"),"预约")</f>
        <v>预约</v>
      </c>
    </row>
    <row r="5">
      <c r="A5" s="3" t="s">
        <v>11</v>
      </c>
      <c r="B5" s="3" t="s">
        <v>12</v>
      </c>
      <c r="C5" s="3" t="s">
        <v>13</v>
      </c>
      <c r="D5" s="4" t="str">
        <f>IFERROR(__xludf.DUMMYFUNCTION("GOOGLETRANSLATE(A5, ""en"", ""zh-CN"")"),"放弃")</f>
        <v>放弃</v>
      </c>
    </row>
    <row r="6">
      <c r="A6" s="3" t="s">
        <v>14</v>
      </c>
      <c r="B6" s="3" t="s">
        <v>15</v>
      </c>
      <c r="C6" s="3" t="s">
        <v>16</v>
      </c>
      <c r="D6" s="4" t="str">
        <f>IFERROR(__xludf.DUMMYFUNCTION("GOOGLETRANSLATE(A6, ""en"", ""zh-CN"")"),"啊")</f>
        <v>啊</v>
      </c>
    </row>
    <row r="7">
      <c r="A7" s="3" t="s">
        <v>17</v>
      </c>
      <c r="B7" s="3" t="s">
        <v>12</v>
      </c>
      <c r="C7" s="3" t="s">
        <v>9</v>
      </c>
      <c r="D7" s="4" t="str">
        <f>IFERROR(__xludf.DUMMYFUNCTION("GOOGLETRANSLATE(A7, ""en"", ""zh-CN"")"),"欣赏")</f>
        <v>欣赏</v>
      </c>
    </row>
    <row r="8">
      <c r="A8" s="3" t="s">
        <v>18</v>
      </c>
      <c r="B8" s="3" t="s">
        <v>8</v>
      </c>
      <c r="C8" s="3" t="s">
        <v>16</v>
      </c>
      <c r="D8" s="4" t="str">
        <f>IFERROR(__xludf.DUMMYFUNCTION("GOOGLETRANSLATE(A8, ""en"", ""zh-CN"")"),"能力")</f>
        <v>能力</v>
      </c>
    </row>
    <row r="9">
      <c r="A9" s="3" t="s">
        <v>19</v>
      </c>
      <c r="B9" s="3" t="s">
        <v>20</v>
      </c>
      <c r="C9" s="3" t="s">
        <v>9</v>
      </c>
      <c r="D9" s="4" t="str">
        <f>IFERROR(__xludf.DUMMYFUNCTION("GOOGLETRANSLATE(A9, ""en"", ""zh-CN"")"),"先")</f>
        <v>先</v>
      </c>
    </row>
    <row r="10">
      <c r="A10" s="3" t="s">
        <v>21</v>
      </c>
      <c r="B10" s="3" t="s">
        <v>22</v>
      </c>
      <c r="C10" s="3" t="s">
        <v>16</v>
      </c>
      <c r="D10" s="4" t="str">
        <f>IFERROR(__xludf.DUMMYFUNCTION("GOOGLETRANSLATE(A10, ""en"", ""zh-CN"")"),"有能力的")</f>
        <v>有能力的</v>
      </c>
    </row>
    <row r="11">
      <c r="A11" s="3" t="s">
        <v>23</v>
      </c>
      <c r="B11" s="3" t="s">
        <v>22</v>
      </c>
      <c r="C11" s="3" t="s">
        <v>13</v>
      </c>
      <c r="D11" s="4" t="str">
        <f>IFERROR(__xludf.DUMMYFUNCTION("GOOGLETRANSLATE(A11, ""en"", ""zh-CN"")"),"合适的")</f>
        <v>合适的</v>
      </c>
    </row>
    <row r="12">
      <c r="A12" s="3" t="s">
        <v>24</v>
      </c>
      <c r="B12" s="3" t="s">
        <v>8</v>
      </c>
      <c r="C12" s="3" t="s">
        <v>13</v>
      </c>
      <c r="D12" s="4" t="str">
        <f>IFERROR(__xludf.DUMMYFUNCTION("GOOGLETRANSLATE(A12, ""en"", ""zh-CN"")"),"赞同")</f>
        <v>赞同</v>
      </c>
    </row>
    <row r="13">
      <c r="A13" s="3" t="s">
        <v>25</v>
      </c>
      <c r="B13" s="3" t="s">
        <v>8</v>
      </c>
      <c r="C13" s="3" t="s">
        <v>6</v>
      </c>
      <c r="D13" s="4" t="str">
        <f>IFERROR(__xludf.DUMMYFUNCTION("GOOGLETRANSLATE(A13, ""en"", ""zh-CN"")"),"空气")</f>
        <v>空气</v>
      </c>
    </row>
    <row r="14">
      <c r="A14" s="3" t="s">
        <v>26</v>
      </c>
      <c r="B14" s="3" t="s">
        <v>12</v>
      </c>
      <c r="C14" s="3" t="s">
        <v>13</v>
      </c>
      <c r="D14" s="4" t="str">
        <f>IFERROR(__xludf.DUMMYFUNCTION("GOOGLETRANSLATE(A14, ""en"", ""zh-CN"")"),"批准")</f>
        <v>批准</v>
      </c>
    </row>
    <row r="15">
      <c r="A15" s="3" t="s">
        <v>27</v>
      </c>
      <c r="B15" s="3" t="s">
        <v>20</v>
      </c>
      <c r="C15" s="3" t="s">
        <v>16</v>
      </c>
      <c r="D15" s="4" t="str">
        <f>IFERROR(__xludf.DUMMYFUNCTION("GOOGLETRANSLATE(A15, ""en"", ""zh-CN"")"),"国外")</f>
        <v>国外</v>
      </c>
    </row>
    <row r="16">
      <c r="A16" s="3" t="s">
        <v>28</v>
      </c>
      <c r="B16" s="3" t="s">
        <v>8</v>
      </c>
      <c r="C16" s="3" t="s">
        <v>13</v>
      </c>
      <c r="D16" s="4" t="str">
        <f>IFERROR(__xludf.DUMMYFUNCTION("GOOGLETRANSLATE(A16, ""en"", ""zh-CN"")"),"飞机")</f>
        <v>飞机</v>
      </c>
    </row>
    <row r="17">
      <c r="A17" s="3" t="s">
        <v>29</v>
      </c>
      <c r="B17" s="3" t="s">
        <v>20</v>
      </c>
      <c r="C17" s="3" t="s">
        <v>9</v>
      </c>
      <c r="D17" s="4" t="str">
        <f>IFERROR(__xludf.DUMMYFUNCTION("GOOGLETRANSLATE(A17, ""en"", ""zh-CN"")"),"大约")</f>
        <v>大约</v>
      </c>
    </row>
    <row r="18">
      <c r="A18" s="3" t="s">
        <v>30</v>
      </c>
      <c r="B18" s="3" t="s">
        <v>22</v>
      </c>
      <c r="C18" s="3" t="s">
        <v>13</v>
      </c>
      <c r="D18" s="4" t="str">
        <f>IFERROR(__xludf.DUMMYFUNCTION("GOOGLETRANSLATE(A18, ""en"", ""zh-CN"")"),"绝对")</f>
        <v>绝对</v>
      </c>
    </row>
    <row r="19">
      <c r="A19" s="3" t="s">
        <v>31</v>
      </c>
      <c r="B19" s="3" t="s">
        <v>8</v>
      </c>
      <c r="C19" s="3" t="s">
        <v>16</v>
      </c>
      <c r="D19" s="4" t="str">
        <f>IFERROR(__xludf.DUMMYFUNCTION("GOOGLETRANSLATE(A19, ""en"", ""zh-CN"")"),"航空公司")</f>
        <v>航空公司</v>
      </c>
    </row>
    <row r="20">
      <c r="A20" s="3" t="s">
        <v>32</v>
      </c>
      <c r="B20" s="3" t="s">
        <v>8</v>
      </c>
      <c r="C20" s="3" t="s">
        <v>6</v>
      </c>
      <c r="D20" s="4" t="str">
        <f>IFERROR(__xludf.DUMMYFUNCTION("GOOGLETRANSLATE(A20, ""en"", ""zh-CN"")"),"四月")</f>
        <v>四月</v>
      </c>
    </row>
    <row r="21" ht="15.75" customHeight="1">
      <c r="A21" s="3" t="s">
        <v>33</v>
      </c>
      <c r="B21" s="3" t="s">
        <v>20</v>
      </c>
      <c r="C21" s="3" t="s">
        <v>9</v>
      </c>
      <c r="D21" s="4" t="str">
        <f>IFERROR(__xludf.DUMMYFUNCTION("GOOGLETRANSLATE(A21, ""en"", ""zh-CN"")"),"绝对地")</f>
        <v>绝对地</v>
      </c>
    </row>
    <row r="22" ht="15.75" customHeight="1">
      <c r="A22" s="3" t="s">
        <v>34</v>
      </c>
      <c r="B22" s="3" t="s">
        <v>8</v>
      </c>
      <c r="C22" s="3" t="s">
        <v>6</v>
      </c>
      <c r="D22" s="4" t="str">
        <f>IFERROR(__xludf.DUMMYFUNCTION("GOOGLETRANSLATE(A22, ""en"", ""zh-CN"")"),"飞机场")</f>
        <v>飞机场</v>
      </c>
    </row>
    <row r="23" ht="15.75" customHeight="1">
      <c r="A23" s="3" t="s">
        <v>35</v>
      </c>
      <c r="B23" s="3" t="s">
        <v>8</v>
      </c>
      <c r="C23" s="3" t="s">
        <v>16</v>
      </c>
      <c r="D23" s="4" t="str">
        <f>IFERROR(__xludf.DUMMYFUNCTION("GOOGLETRANSLATE(A23, ""en"", ""zh-CN"")"),"建筑师")</f>
        <v>建筑师</v>
      </c>
    </row>
    <row r="24" ht="15.75" customHeight="1">
      <c r="A24" s="3" t="s">
        <v>36</v>
      </c>
      <c r="B24" s="3" t="s">
        <v>8</v>
      </c>
      <c r="C24" s="3" t="s">
        <v>16</v>
      </c>
      <c r="D24" s="4" t="str">
        <f>IFERROR(__xludf.DUMMYFUNCTION("GOOGLETRANSLATE(A24, ""en"", ""zh-CN"")"),"建筑学")</f>
        <v>建筑学</v>
      </c>
    </row>
    <row r="25" ht="15.75" customHeight="1">
      <c r="A25" s="3" t="s">
        <v>37</v>
      </c>
      <c r="B25" s="3" t="s">
        <v>12</v>
      </c>
      <c r="C25" s="3" t="s">
        <v>16</v>
      </c>
      <c r="D25" s="4" t="str">
        <f>IFERROR(__xludf.DUMMYFUNCTION("GOOGLETRANSLATE(A25, ""en"", ""zh-CN"")"),"接受")</f>
        <v>接受</v>
      </c>
    </row>
    <row r="26" ht="15.75" customHeight="1">
      <c r="A26" s="3" t="s">
        <v>38</v>
      </c>
      <c r="B26" s="3" t="s">
        <v>8</v>
      </c>
      <c r="C26" s="3" t="s">
        <v>9</v>
      </c>
      <c r="D26" s="4" t="str">
        <f>IFERROR(__xludf.DUMMYFUNCTION("GOOGLETRANSLATE(A26, ""en"", ""zh-CN"")"),"专辑")</f>
        <v>专辑</v>
      </c>
    </row>
    <row r="27" ht="15.75" customHeight="1">
      <c r="A27" s="3" t="s">
        <v>39</v>
      </c>
      <c r="B27" s="3" t="s">
        <v>8</v>
      </c>
      <c r="C27" s="3" t="s">
        <v>6</v>
      </c>
      <c r="D27" s="4" t="str">
        <f>IFERROR(__xludf.DUMMYFUNCTION("GOOGLETRANSLATE(A27, ""en"", ""zh-CN"")"),"区域")</f>
        <v>区域</v>
      </c>
    </row>
    <row r="28" ht="15.75" customHeight="1">
      <c r="A28" s="3" t="s">
        <v>40</v>
      </c>
      <c r="B28" s="3" t="s">
        <v>22</v>
      </c>
      <c r="C28" s="3" t="s">
        <v>13</v>
      </c>
      <c r="D28" s="4" t="str">
        <f>IFERROR(__xludf.DUMMYFUNCTION("GOOGLETRANSLATE(A28, ""en"", ""zh-CN"")"),"可以接受")</f>
        <v>可以接受</v>
      </c>
    </row>
    <row r="29" ht="15.75" customHeight="1">
      <c r="A29" s="3" t="s">
        <v>41</v>
      </c>
      <c r="B29" s="3" t="s">
        <v>8</v>
      </c>
      <c r="C29" s="3" t="s">
        <v>9</v>
      </c>
      <c r="D29" s="4" t="str">
        <f>IFERROR(__xludf.DUMMYFUNCTION("GOOGLETRANSLATE(A29, ""en"", ""zh-CN"")"),"酒精")</f>
        <v>酒精</v>
      </c>
    </row>
    <row r="30" ht="15.75" customHeight="1">
      <c r="A30" s="3" t="s">
        <v>42</v>
      </c>
      <c r="B30" s="3" t="s">
        <v>12</v>
      </c>
      <c r="C30" s="3" t="s">
        <v>16</v>
      </c>
      <c r="D30" s="4" t="str">
        <f>IFERROR(__xludf.DUMMYFUNCTION("GOOGLETRANSLATE(A30, ""en"", ""zh-CN"")"),"争论")</f>
        <v>争论</v>
      </c>
    </row>
    <row r="31" ht="15.75" customHeight="1">
      <c r="A31" s="3" t="s">
        <v>43</v>
      </c>
      <c r="B31" s="3" t="s">
        <v>22</v>
      </c>
      <c r="C31" s="3" t="s">
        <v>9</v>
      </c>
      <c r="D31" s="4" t="str">
        <f>IFERROR(__xludf.DUMMYFUNCTION("GOOGLETRANSLATE(A31, ""en"", ""zh-CN"")"),"酒鬼")</f>
        <v>酒鬼</v>
      </c>
    </row>
    <row r="32" ht="15.75" customHeight="1">
      <c r="A32" s="3" t="s">
        <v>44</v>
      </c>
      <c r="B32" s="3" t="s">
        <v>8</v>
      </c>
      <c r="C32" s="3" t="s">
        <v>16</v>
      </c>
      <c r="D32" s="4" t="str">
        <f>IFERROR(__xludf.DUMMYFUNCTION("GOOGLETRANSLATE(A32, ""en"", ""zh-CN"")"),"争论")</f>
        <v>争论</v>
      </c>
    </row>
    <row r="33" ht="15.75" customHeight="1">
      <c r="A33" s="3" t="s">
        <v>45</v>
      </c>
      <c r="B33" s="3" t="s">
        <v>8</v>
      </c>
      <c r="C33" s="3" t="s">
        <v>16</v>
      </c>
      <c r="D33" s="4" t="str">
        <f>IFERROR(__xludf.DUMMYFUNCTION("GOOGLETRANSLATE(A33, ""en"", ""zh-CN"")"),"事故")</f>
        <v>事故</v>
      </c>
    </row>
    <row r="34" ht="15.75" customHeight="1">
      <c r="A34" s="3" t="s">
        <v>46</v>
      </c>
      <c r="B34" s="3" t="s">
        <v>22</v>
      </c>
      <c r="C34" s="3" t="s">
        <v>16</v>
      </c>
      <c r="D34" s="4" t="str">
        <f>IFERROR(__xludf.DUMMYFUNCTION("GOOGLETRANSLATE(A34, ""en"", ""zh-CN"")"),"活")</f>
        <v>活</v>
      </c>
    </row>
    <row r="35" ht="15.75" customHeight="1">
      <c r="A35" s="3" t="s">
        <v>47</v>
      </c>
      <c r="B35" s="3" t="s">
        <v>12</v>
      </c>
      <c r="C35" s="3" t="s">
        <v>13</v>
      </c>
      <c r="D35" s="4" t="str">
        <f>IFERROR(__xludf.DUMMYFUNCTION("GOOGLETRANSLATE(A35, ""en"", ""zh-CN"")"),"出现")</f>
        <v>出现</v>
      </c>
    </row>
    <row r="36" ht="15.75" customHeight="1">
      <c r="A36" s="3" t="s">
        <v>48</v>
      </c>
      <c r="B36" s="3" t="s">
        <v>8</v>
      </c>
      <c r="C36" s="3" t="s">
        <v>9</v>
      </c>
      <c r="D36" s="4" t="str">
        <f>IFERROR(__xludf.DUMMYFUNCTION("GOOGLETRANSLATE(A36, ""en"", ""zh-CN"")"),"住宿")</f>
        <v>住宿</v>
      </c>
    </row>
    <row r="37" ht="15.75" customHeight="1">
      <c r="A37" s="3" t="s">
        <v>49</v>
      </c>
      <c r="B37" s="3" t="s">
        <v>8</v>
      </c>
      <c r="C37" s="3" t="s">
        <v>6</v>
      </c>
      <c r="D37" s="4" t="str">
        <f>IFERROR(__xludf.DUMMYFUNCTION("GOOGLETRANSLATE(A37, ""en"", ""zh-CN"")"),"手臂")</f>
        <v>手臂</v>
      </c>
    </row>
    <row r="38" ht="15.75" customHeight="1">
      <c r="A38" s="3" t="s">
        <v>50</v>
      </c>
      <c r="B38" s="3" t="s">
        <v>12</v>
      </c>
      <c r="C38" s="3" t="s">
        <v>13</v>
      </c>
      <c r="D38" s="4" t="str">
        <f>IFERROR(__xludf.DUMMYFUNCTION("GOOGLETRANSLATE(A38, ""en"", ""zh-CN"")"),"陪伴")</f>
        <v>陪伴</v>
      </c>
    </row>
    <row r="39" ht="15.75" customHeight="1">
      <c r="A39" s="3" t="s">
        <v>51</v>
      </c>
      <c r="B39" s="3" t="s">
        <v>22</v>
      </c>
      <c r="C39" s="3" t="s">
        <v>13</v>
      </c>
      <c r="D39" s="4" t="str">
        <f>IFERROR(__xludf.DUMMYFUNCTION("GOOGLETRANSLATE(A39, ""en"", ""zh-CN"")"),"武装")</f>
        <v>武装</v>
      </c>
    </row>
    <row r="40" ht="15.75" customHeight="1">
      <c r="A40" s="3" t="s">
        <v>52</v>
      </c>
      <c r="B40" s="3" t="s">
        <v>12</v>
      </c>
      <c r="C40" s="3" t="s">
        <v>16</v>
      </c>
      <c r="D40" s="4" t="str">
        <f>IFERROR(__xludf.DUMMYFUNCTION("GOOGLETRANSLATE(A40, ""en"", ""zh-CN"")"),"允许")</f>
        <v>允许</v>
      </c>
    </row>
    <row r="41" ht="15.75" customHeight="1">
      <c r="A41" s="3" t="s">
        <v>53</v>
      </c>
      <c r="B41" s="3" t="s">
        <v>8</v>
      </c>
      <c r="C41" s="3" t="s">
        <v>13</v>
      </c>
      <c r="D41" s="4" t="str">
        <f>IFERROR(__xludf.DUMMYFUNCTION("GOOGLETRANSLATE(A41, ""en"", ""zh-CN"")"),"武器")</f>
        <v>武器</v>
      </c>
    </row>
    <row r="42" ht="15.75" customHeight="1">
      <c r="A42" s="3" t="s">
        <v>54</v>
      </c>
      <c r="B42" s="3" t="s">
        <v>20</v>
      </c>
      <c r="C42" s="3" t="s">
        <v>16</v>
      </c>
      <c r="D42" s="4" t="str">
        <f>IFERROR(__xludf.DUMMYFUNCTION("GOOGLETRANSLATE(A42, ""en"", ""zh-CN"")"),"几乎")</f>
        <v>几乎</v>
      </c>
    </row>
    <row r="43" ht="15.75" customHeight="1">
      <c r="A43" s="3" t="s">
        <v>55</v>
      </c>
      <c r="B43" s="3" t="s">
        <v>8</v>
      </c>
      <c r="C43" s="3" t="s">
        <v>16</v>
      </c>
      <c r="D43" s="4" t="str">
        <f>IFERROR(__xludf.DUMMYFUNCTION("GOOGLETRANSLATE(A43, ""en"", ""zh-CN"")"),"军队")</f>
        <v>军队</v>
      </c>
    </row>
    <row r="44" ht="15.75" customHeight="1">
      <c r="A44" s="3" t="s">
        <v>56</v>
      </c>
      <c r="B44" s="3" t="s">
        <v>22</v>
      </c>
      <c r="C44" s="3" t="s">
        <v>13</v>
      </c>
      <c r="D44" s="4" t="str">
        <f>IFERROR(__xludf.DUMMYFUNCTION("GOOGLETRANSLATE(A44, ""en"", ""zh-CN"")"),"准确的")</f>
        <v>准确的</v>
      </c>
    </row>
    <row r="45" ht="15.75" customHeight="1">
      <c r="A45" s="3" t="s">
        <v>57</v>
      </c>
      <c r="B45" s="3" t="s">
        <v>58</v>
      </c>
      <c r="C45" s="3" t="s">
        <v>16</v>
      </c>
      <c r="D45" s="4" t="str">
        <f>IFERROR(__xludf.DUMMYFUNCTION("GOOGLETRANSLATE(A45, ""en"", ""zh-CN"")"),"独自的")</f>
        <v>独自的</v>
      </c>
    </row>
    <row r="46" ht="15.75" customHeight="1">
      <c r="A46" s="3" t="s">
        <v>59</v>
      </c>
      <c r="B46" s="3" t="s">
        <v>12</v>
      </c>
      <c r="C46" s="3" t="s">
        <v>13</v>
      </c>
      <c r="D46" s="4" t="str">
        <f>IFERROR(__xludf.DUMMYFUNCTION("GOOGLETRANSLATE(A46, ""en"", ""zh-CN"")"),"告")</f>
        <v>告</v>
      </c>
    </row>
    <row r="47" ht="15.75" customHeight="1">
      <c r="A47" s="3" t="s">
        <v>60</v>
      </c>
      <c r="B47" s="3" t="s">
        <v>12</v>
      </c>
      <c r="C47" s="3" t="s">
        <v>16</v>
      </c>
      <c r="D47" s="4" t="str">
        <f>IFERROR(__xludf.DUMMYFUNCTION("GOOGLETRANSLATE(A47, ""en"", ""zh-CN"")"),"安排")</f>
        <v>安排</v>
      </c>
    </row>
    <row r="48" ht="15.75" customHeight="1">
      <c r="A48" s="3" t="s">
        <v>61</v>
      </c>
      <c r="B48" s="3" t="s">
        <v>12</v>
      </c>
      <c r="C48" s="3" t="s">
        <v>16</v>
      </c>
      <c r="D48" s="4" t="str">
        <f>IFERROR(__xludf.DUMMYFUNCTION("GOOGLETRANSLATE(A48, ""en"", ""zh-CN"")"),"达到")</f>
        <v>达到</v>
      </c>
    </row>
    <row r="49" ht="15.75" customHeight="1">
      <c r="A49" s="3" t="s">
        <v>62</v>
      </c>
      <c r="B49" s="3" t="s">
        <v>20</v>
      </c>
      <c r="C49" s="3" t="s">
        <v>16</v>
      </c>
      <c r="D49" s="4" t="str">
        <f>IFERROR(__xludf.DUMMYFUNCTION("GOOGLETRANSLATE(A49, ""en"", ""zh-CN"")"),"已经")</f>
        <v>已经</v>
      </c>
    </row>
    <row r="50" ht="15.75" customHeight="1">
      <c r="A50" s="3" t="s">
        <v>63</v>
      </c>
      <c r="B50" s="3" t="s">
        <v>8</v>
      </c>
      <c r="C50" s="3" t="s">
        <v>16</v>
      </c>
      <c r="D50" s="4" t="str">
        <f>IFERROR(__xludf.DUMMYFUNCTION("GOOGLETRANSLATE(A50, ""en"", ""zh-CN"")"),"安排")</f>
        <v>安排</v>
      </c>
    </row>
    <row r="51" ht="15.75" customHeight="1">
      <c r="A51" s="3" t="s">
        <v>64</v>
      </c>
      <c r="B51" s="3" t="s">
        <v>8</v>
      </c>
      <c r="C51" s="3" t="s">
        <v>9</v>
      </c>
      <c r="D51" s="4" t="str">
        <f>IFERROR(__xludf.DUMMYFUNCTION("GOOGLETRANSLATE(A51, ""en"", ""zh-CN"")"),"成就")</f>
        <v>成就</v>
      </c>
    </row>
    <row r="52" ht="15.75" customHeight="1">
      <c r="A52" s="3" t="s">
        <v>65</v>
      </c>
      <c r="B52" s="3" t="s">
        <v>20</v>
      </c>
      <c r="C52" s="3" t="s">
        <v>6</v>
      </c>
      <c r="D52" s="4" t="str">
        <f>IFERROR(__xludf.DUMMYFUNCTION("GOOGLETRANSLATE(A52, ""en"", ""zh-CN"")"),"还")</f>
        <v>还</v>
      </c>
    </row>
    <row r="53" ht="15.75" customHeight="1">
      <c r="A53" s="3" t="s">
        <v>66</v>
      </c>
      <c r="B53" s="3" t="s">
        <v>12</v>
      </c>
      <c r="C53" s="3" t="s">
        <v>13</v>
      </c>
      <c r="D53" s="4" t="str">
        <f>IFERROR(__xludf.DUMMYFUNCTION("GOOGLETRANSLATE(A53, ""en"", ""zh-CN"")"),"承认")</f>
        <v>承认</v>
      </c>
    </row>
    <row r="54" ht="15.75" customHeight="1">
      <c r="A54" s="3" t="s">
        <v>67</v>
      </c>
      <c r="B54" s="3" t="s">
        <v>12</v>
      </c>
      <c r="C54" s="3" t="s">
        <v>13</v>
      </c>
      <c r="D54" s="4" t="str">
        <f>IFERROR(__xludf.DUMMYFUNCTION("GOOGLETRANSLATE(A54, ""en"", ""zh-CN"")"),"改变")</f>
        <v>改变</v>
      </c>
    </row>
    <row r="55" ht="15.75" customHeight="1">
      <c r="A55" s="3" t="s">
        <v>68</v>
      </c>
      <c r="B55" s="3" t="s">
        <v>8</v>
      </c>
      <c r="C55" s="3" t="s">
        <v>9</v>
      </c>
      <c r="D55" s="4" t="str">
        <f>IFERROR(__xludf.DUMMYFUNCTION("GOOGLETRANSLATE(A55, ""en"", ""zh-CN"")"),"到达")</f>
        <v>到达</v>
      </c>
    </row>
    <row r="56" ht="15.75" customHeight="1">
      <c r="A56" s="3" t="s">
        <v>69</v>
      </c>
      <c r="B56" s="3" t="s">
        <v>12</v>
      </c>
      <c r="C56" s="3" t="s">
        <v>13</v>
      </c>
      <c r="D56" s="4" t="str">
        <f>IFERROR(__xludf.DUMMYFUNCTION("GOOGLETRANSLATE(A56, ""en"", ""zh-CN"")"),"获得")</f>
        <v>获得</v>
      </c>
    </row>
    <row r="57" ht="15.75" customHeight="1">
      <c r="A57" s="3" t="s">
        <v>70</v>
      </c>
      <c r="B57" s="3" t="s">
        <v>12</v>
      </c>
      <c r="C57" s="3" t="s">
        <v>6</v>
      </c>
      <c r="D57" s="4" t="str">
        <f>IFERROR(__xludf.DUMMYFUNCTION("GOOGLETRANSLATE(A57, ""en"", ""zh-CN"")"),"到达")</f>
        <v>到达</v>
      </c>
    </row>
    <row r="58" ht="15.75" customHeight="1">
      <c r="A58" s="3" t="s">
        <v>71</v>
      </c>
      <c r="B58" s="3" t="s">
        <v>72</v>
      </c>
      <c r="C58" s="3" t="s">
        <v>16</v>
      </c>
      <c r="D58" s="4" t="str">
        <f>IFERROR(__xludf.DUMMYFUNCTION("GOOGLETRANSLATE(A58, ""en"", ""zh-CN"")"),"虽然")</f>
        <v>虽然</v>
      </c>
    </row>
    <row r="59" ht="15.75" customHeight="1">
      <c r="A59" s="3" t="s">
        <v>73</v>
      </c>
      <c r="B59" s="3" t="s">
        <v>8</v>
      </c>
      <c r="C59" s="3" t="s">
        <v>6</v>
      </c>
      <c r="D59" s="4" t="str">
        <f>IFERROR(__xludf.DUMMYFUNCTION("GOOGLETRANSLATE(A59, ""en"", ""zh-CN"")"),"艺术")</f>
        <v>艺术</v>
      </c>
    </row>
    <row r="60" ht="15.75" customHeight="1">
      <c r="A60" s="3" t="s">
        <v>74</v>
      </c>
      <c r="B60" s="3" t="s">
        <v>20</v>
      </c>
      <c r="C60" s="3" t="s">
        <v>6</v>
      </c>
      <c r="D60" s="4" t="str">
        <f>IFERROR(__xludf.DUMMYFUNCTION("GOOGLETRANSLATE(A60, ""en"", ""zh-CN"")"),"总是")</f>
        <v>总是</v>
      </c>
    </row>
    <row r="61" ht="15.75" customHeight="1">
      <c r="A61" s="3" t="s">
        <v>5</v>
      </c>
      <c r="B61" s="3" t="s">
        <v>8</v>
      </c>
      <c r="C61" s="3" t="s">
        <v>6</v>
      </c>
      <c r="D61" s="4" t="str">
        <f>IFERROR(__xludf.DUMMYFUNCTION("GOOGLETRANSLATE(A61, ""en"", ""zh-CN"")"),"文章")</f>
        <v>文章</v>
      </c>
    </row>
    <row r="62" ht="15.75" customHeight="1">
      <c r="A62" s="3" t="s">
        <v>75</v>
      </c>
      <c r="B62" s="3" t="s">
        <v>8</v>
      </c>
      <c r="C62" s="3" t="s">
        <v>6</v>
      </c>
      <c r="D62" s="4" t="str">
        <f>IFERROR(__xludf.DUMMYFUNCTION("GOOGLETRANSLATE(A62, ""en"", ""zh-CN"")"),"行动")</f>
        <v>行动</v>
      </c>
    </row>
    <row r="63" ht="15.75" customHeight="1">
      <c r="A63" s="3" t="s">
        <v>76</v>
      </c>
      <c r="B63" s="3" t="s">
        <v>22</v>
      </c>
      <c r="C63" s="3" t="s">
        <v>9</v>
      </c>
      <c r="D63" s="4" t="str">
        <f>IFERROR(__xludf.DUMMYFUNCTION("GOOGLETRANSLATE(A63, ""en"", ""zh-CN"")"),"惊讶")</f>
        <v>惊讶</v>
      </c>
    </row>
    <row r="64" ht="15.75" customHeight="1">
      <c r="A64" s="3" t="s">
        <v>77</v>
      </c>
      <c r="B64" s="3" t="s">
        <v>22</v>
      </c>
      <c r="C64" s="3" t="s">
        <v>13</v>
      </c>
      <c r="D64" s="4" t="str">
        <f>IFERROR(__xludf.DUMMYFUNCTION("GOOGLETRANSLATE(A64, ""en"", ""zh-CN"")"),"人造的")</f>
        <v>人造的</v>
      </c>
    </row>
    <row r="65" ht="15.75" customHeight="1">
      <c r="A65" s="3" t="s">
        <v>78</v>
      </c>
      <c r="B65" s="3" t="s">
        <v>22</v>
      </c>
      <c r="C65" s="3" t="s">
        <v>16</v>
      </c>
      <c r="D65" s="4" t="str">
        <f>IFERROR(__xludf.DUMMYFUNCTION("GOOGLETRANSLATE(A65, ""en"", ""zh-CN"")"),"积极的")</f>
        <v>积极的</v>
      </c>
    </row>
    <row r="66" ht="15.75" customHeight="1">
      <c r="A66" s="3" t="s">
        <v>79</v>
      </c>
      <c r="B66" s="3" t="s">
        <v>22</v>
      </c>
      <c r="C66" s="3" t="s">
        <v>6</v>
      </c>
      <c r="D66" s="4" t="str">
        <f>IFERROR(__xludf.DUMMYFUNCTION("GOOGLETRANSLATE(A66, ""en"", ""zh-CN"")"),"惊人的")</f>
        <v>惊人的</v>
      </c>
    </row>
    <row r="67" ht="15.75" customHeight="1">
      <c r="A67" s="3" t="s">
        <v>80</v>
      </c>
      <c r="B67" s="3" t="s">
        <v>8</v>
      </c>
      <c r="C67" s="3" t="s">
        <v>6</v>
      </c>
      <c r="D67" s="4" t="str">
        <f>IFERROR(__xludf.DUMMYFUNCTION("GOOGLETRANSLATE(A67, ""en"", ""zh-CN"")"),"艺术家")</f>
        <v>艺术家</v>
      </c>
    </row>
    <row r="68" ht="15.75" customHeight="1">
      <c r="A68" s="3" t="s">
        <v>81</v>
      </c>
      <c r="B68" s="3" t="s">
        <v>8</v>
      </c>
      <c r="C68" s="3" t="s">
        <v>6</v>
      </c>
      <c r="D68" s="4" t="str">
        <f>IFERROR(__xludf.DUMMYFUNCTION("GOOGLETRANSLATE(A68, ""en"", ""zh-CN"")"),"活动")</f>
        <v>活动</v>
      </c>
    </row>
    <row r="69" ht="15.75" customHeight="1">
      <c r="A69" s="3" t="s">
        <v>82</v>
      </c>
      <c r="B69" s="3" t="s">
        <v>8</v>
      </c>
      <c r="C69" s="3" t="s">
        <v>9</v>
      </c>
      <c r="D69" s="4" t="str">
        <f>IFERROR(__xludf.DUMMYFUNCTION("GOOGLETRANSLATE(A69, ""en"", ""zh-CN"")"),"志向")</f>
        <v>志向</v>
      </c>
    </row>
    <row r="70" ht="15.75" customHeight="1">
      <c r="A70" s="3" t="s">
        <v>83</v>
      </c>
      <c r="B70" s="3" t="s">
        <v>22</v>
      </c>
      <c r="C70" s="3" t="s">
        <v>13</v>
      </c>
      <c r="D70" s="4" t="str">
        <f>IFERROR(__xludf.DUMMYFUNCTION("GOOGLETRANSLATE(A70, ""en"", ""zh-CN"")"),"艺术的")</f>
        <v>艺术的</v>
      </c>
    </row>
    <row r="71" ht="15.75" customHeight="1">
      <c r="A71" s="3" t="s">
        <v>84</v>
      </c>
      <c r="B71" s="3" t="s">
        <v>8</v>
      </c>
      <c r="C71" s="3" t="s">
        <v>6</v>
      </c>
      <c r="D71" s="4" t="str">
        <f>IFERROR(__xludf.DUMMYFUNCTION("GOOGLETRANSLATE(A71, ""en"", ""zh-CN"")"),"演员")</f>
        <v>演员</v>
      </c>
    </row>
    <row r="72" ht="15.75" customHeight="1">
      <c r="A72" s="3" t="s">
        <v>85</v>
      </c>
      <c r="B72" s="3" t="s">
        <v>22</v>
      </c>
      <c r="C72" s="3" t="s">
        <v>9</v>
      </c>
      <c r="D72" s="4" t="str">
        <f>IFERROR(__xludf.DUMMYFUNCTION("GOOGLETRANSLATE(A72, ""en"", ""zh-CN"")"),"雄心勃勃")</f>
        <v>雄心勃勃</v>
      </c>
    </row>
    <row r="73" ht="15.75" customHeight="1">
      <c r="A73" s="3" t="s">
        <v>86</v>
      </c>
      <c r="B73" s="3" t="s">
        <v>8</v>
      </c>
      <c r="C73" s="3" t="s">
        <v>6</v>
      </c>
      <c r="D73" s="4" t="str">
        <f>IFERROR(__xludf.DUMMYFUNCTION("GOOGLETRANSLATE(A73, ""en"", ""zh-CN"")"),"演员")</f>
        <v>演员</v>
      </c>
    </row>
    <row r="74" ht="15.75" customHeight="1">
      <c r="A74" s="3" t="s">
        <v>87</v>
      </c>
      <c r="B74" s="3" t="s">
        <v>88</v>
      </c>
      <c r="C74" s="3" t="s">
        <v>16</v>
      </c>
      <c r="D74" s="4" t="str">
        <f>IFERROR(__xludf.DUMMYFUNCTION("GOOGLETRANSLATE(A74, ""en"", ""zh-CN"")"),"之中")</f>
        <v>之中</v>
      </c>
    </row>
    <row r="75" ht="15.75" customHeight="1">
      <c r="A75" s="3" t="s">
        <v>89</v>
      </c>
      <c r="B75" s="3" t="s">
        <v>22</v>
      </c>
      <c r="C75" s="3" t="s">
        <v>13</v>
      </c>
      <c r="D75" s="4" t="str">
        <f>IFERROR(__xludf.DUMMYFUNCTION("GOOGLETRANSLATE(A75, ""en"", ""zh-CN"")"),"羞愧")</f>
        <v>羞愧</v>
      </c>
    </row>
    <row r="76" ht="15.75" customHeight="1">
      <c r="A76" s="3" t="s">
        <v>90</v>
      </c>
      <c r="B76" s="3" t="s">
        <v>22</v>
      </c>
      <c r="C76" s="3" t="s">
        <v>13</v>
      </c>
      <c r="D76" s="4" t="str">
        <f>IFERROR(__xludf.DUMMYFUNCTION("GOOGLETRANSLATE(A76, ""en"", ""zh-CN"")"),"实际的")</f>
        <v>实际的</v>
      </c>
    </row>
    <row r="77" ht="15.75" customHeight="1">
      <c r="A77" s="3" t="s">
        <v>91</v>
      </c>
      <c r="B77" s="3" t="s">
        <v>12</v>
      </c>
      <c r="C77" s="3" t="s">
        <v>6</v>
      </c>
      <c r="D77" s="4" t="str">
        <f>IFERROR(__xludf.DUMMYFUNCTION("GOOGLETRANSLATE(A77, ""en"", ""zh-CN"")"),"问")</f>
        <v>问</v>
      </c>
    </row>
    <row r="78" ht="15.75" customHeight="1">
      <c r="A78" s="3" t="s">
        <v>92</v>
      </c>
      <c r="B78" s="3" t="s">
        <v>20</v>
      </c>
      <c r="C78" s="3" t="s">
        <v>16</v>
      </c>
      <c r="D78" s="4" t="str">
        <f>IFERROR(__xludf.DUMMYFUNCTION("GOOGLETRANSLATE(A78, ""en"", ""zh-CN"")"),"实际上")</f>
        <v>实际上</v>
      </c>
    </row>
    <row r="79" ht="15.75" customHeight="1">
      <c r="A79" s="3" t="s">
        <v>93</v>
      </c>
      <c r="B79" s="3" t="s">
        <v>12</v>
      </c>
      <c r="C79" s="3" t="s">
        <v>9</v>
      </c>
      <c r="D79" s="4" t="str">
        <f>IFERROR(__xludf.DUMMYFUNCTION("GOOGLETRANSLATE(A79, ""en"", ""zh-CN"")"),"分析")</f>
        <v>分析</v>
      </c>
    </row>
    <row r="80" ht="15.75" customHeight="1">
      <c r="A80" s="3" t="s">
        <v>94</v>
      </c>
      <c r="B80" s="3" t="s">
        <v>22</v>
      </c>
      <c r="C80" s="3" t="s">
        <v>16</v>
      </c>
      <c r="D80" s="4" t="str">
        <f>IFERROR(__xludf.DUMMYFUNCTION("GOOGLETRANSLATE(A80, ""en"", ""zh-CN"")"),"睡着了")</f>
        <v>睡着了</v>
      </c>
    </row>
    <row r="81" ht="15.75" customHeight="1">
      <c r="A81" s="3" t="s">
        <v>95</v>
      </c>
      <c r="B81" s="3" t="s">
        <v>8</v>
      </c>
      <c r="C81" s="3" t="s">
        <v>9</v>
      </c>
      <c r="D81" s="4" t="str">
        <f>IFERROR(__xludf.DUMMYFUNCTION("GOOGLETRANSLATE(A81, ""en"", ""zh-CN"")"),"广告")</f>
        <v>广告</v>
      </c>
    </row>
    <row r="82" ht="15.75" customHeight="1">
      <c r="A82" s="3" t="s">
        <v>96</v>
      </c>
      <c r="B82" s="3" t="s">
        <v>8</v>
      </c>
      <c r="C82" s="3" t="s">
        <v>9</v>
      </c>
      <c r="D82" s="4" t="str">
        <f>IFERROR(__xludf.DUMMYFUNCTION("GOOGLETRANSLATE(A82, ""en"", ""zh-CN"")"),"分析")</f>
        <v>分析</v>
      </c>
    </row>
    <row r="83" ht="15.75" customHeight="1">
      <c r="A83" s="3" t="s">
        <v>97</v>
      </c>
      <c r="B83" s="3" t="s">
        <v>8</v>
      </c>
      <c r="C83" s="3" t="s">
        <v>13</v>
      </c>
      <c r="D83" s="4" t="str">
        <f>IFERROR(__xludf.DUMMYFUNCTION("GOOGLETRANSLATE(A83, ""en"", ""zh-CN"")"),"方面")</f>
        <v>方面</v>
      </c>
    </row>
    <row r="84" ht="15.75" customHeight="1">
      <c r="A84" s="3" t="s">
        <v>98</v>
      </c>
      <c r="B84" s="3" t="s">
        <v>12</v>
      </c>
      <c r="C84" s="3" t="s">
        <v>13</v>
      </c>
      <c r="D84" s="4" t="str">
        <f>IFERROR(__xludf.DUMMYFUNCTION("GOOGLETRANSLATE(A84, ""en"", ""zh-CN"")"),"适应")</f>
        <v>适应</v>
      </c>
    </row>
    <row r="85" ht="15.75" customHeight="1">
      <c r="A85" s="3" t="s">
        <v>99</v>
      </c>
      <c r="B85" s="3" t="s">
        <v>22</v>
      </c>
      <c r="C85" s="3" t="s">
        <v>16</v>
      </c>
      <c r="D85" s="4" t="str">
        <f>IFERROR(__xludf.DUMMYFUNCTION("GOOGLETRANSLATE(A85, ""en"", ""zh-CN"")"),"古老的")</f>
        <v>古老的</v>
      </c>
    </row>
    <row r="86" ht="15.75" customHeight="1">
      <c r="A86" s="3" t="s">
        <v>100</v>
      </c>
      <c r="B86" s="3" t="s">
        <v>12</v>
      </c>
      <c r="C86" s="3" t="s">
        <v>13</v>
      </c>
      <c r="D86" s="4" t="str">
        <f>IFERROR(__xludf.DUMMYFUNCTION("GOOGLETRANSLATE(A86, ""en"", ""zh-CN"")"),"评估")</f>
        <v>评估</v>
      </c>
    </row>
    <row r="87" ht="15.75" customHeight="1">
      <c r="A87" s="3" t="s">
        <v>101</v>
      </c>
      <c r="B87" s="3" t="s">
        <v>12</v>
      </c>
      <c r="C87" s="3" t="s">
        <v>6</v>
      </c>
      <c r="D87" s="4" t="str">
        <f>IFERROR(__xludf.DUMMYFUNCTION("GOOGLETRANSLATE(A87, ""en"", ""zh-CN"")"),"添加")</f>
        <v>添加</v>
      </c>
    </row>
    <row r="88" ht="15.75" customHeight="1">
      <c r="A88" s="3" t="s">
        <v>102</v>
      </c>
      <c r="B88" s="3" t="s">
        <v>72</v>
      </c>
      <c r="C88" s="3" t="s">
        <v>6</v>
      </c>
      <c r="D88" s="4" t="str">
        <f>IFERROR(__xludf.DUMMYFUNCTION("GOOGLETRANSLATE(A88, ""en"", ""zh-CN"")"),"和")</f>
        <v>和</v>
      </c>
    </row>
    <row r="89" ht="15.75" customHeight="1">
      <c r="A89" s="3" t="s">
        <v>103</v>
      </c>
      <c r="B89" s="3" t="s">
        <v>8</v>
      </c>
      <c r="C89" s="3" t="s">
        <v>13</v>
      </c>
      <c r="D89" s="4" t="str">
        <f>IFERROR(__xludf.DUMMYFUNCTION("GOOGLETRANSLATE(A89, ""en"", ""zh-CN"")"),"评估")</f>
        <v>评估</v>
      </c>
    </row>
    <row r="90" ht="15.75" customHeight="1">
      <c r="A90" s="3" t="s">
        <v>104</v>
      </c>
      <c r="B90" s="3" t="s">
        <v>8</v>
      </c>
      <c r="C90" s="3" t="s">
        <v>9</v>
      </c>
      <c r="D90" s="4" t="str">
        <f>IFERROR(__xludf.DUMMYFUNCTION("GOOGLETRANSLATE(A90, ""en"", ""zh-CN"")"),"添加")</f>
        <v>添加</v>
      </c>
    </row>
    <row r="91" ht="15.75" customHeight="1">
      <c r="A91" s="3" t="s">
        <v>105</v>
      </c>
      <c r="B91" s="3" t="s">
        <v>8</v>
      </c>
      <c r="C91" s="3" t="s">
        <v>13</v>
      </c>
      <c r="D91" s="4" t="str">
        <f>IFERROR(__xludf.DUMMYFUNCTION("GOOGLETRANSLATE(A91, ""en"", ""zh-CN"")"),"愤怒")</f>
        <v>愤怒</v>
      </c>
    </row>
    <row r="92" ht="15.75" customHeight="1">
      <c r="A92" s="3" t="s">
        <v>106</v>
      </c>
      <c r="B92" s="3" t="s">
        <v>8</v>
      </c>
      <c r="C92" s="3" t="s">
        <v>9</v>
      </c>
      <c r="D92" s="4" t="str">
        <f>IFERROR(__xludf.DUMMYFUNCTION("GOOGLETRANSLATE(A92, ""en"", ""zh-CN"")"),"任务")</f>
        <v>任务</v>
      </c>
    </row>
    <row r="93" ht="15.75" customHeight="1">
      <c r="A93" s="3" t="s">
        <v>107</v>
      </c>
      <c r="B93" s="3" t="s">
        <v>22</v>
      </c>
      <c r="C93" s="3" t="s">
        <v>13</v>
      </c>
      <c r="D93" s="4" t="str">
        <f>IFERROR(__xludf.DUMMYFUNCTION("GOOGLETRANSLATE(A93, ""en"", ""zh-CN"")"),"额外的")</f>
        <v>额外的</v>
      </c>
    </row>
    <row r="94" ht="15.75" customHeight="1">
      <c r="A94" s="3" t="s">
        <v>108</v>
      </c>
      <c r="B94" s="3" t="s">
        <v>8</v>
      </c>
      <c r="C94" s="3" t="s">
        <v>13</v>
      </c>
      <c r="D94" s="4" t="str">
        <f>IFERROR(__xludf.DUMMYFUNCTION("GOOGLETRANSLATE(A94, ""en"", ""zh-CN"")"),"角度")</f>
        <v>角度</v>
      </c>
    </row>
    <row r="95" ht="15.75" customHeight="1">
      <c r="A95" s="3" t="s">
        <v>109</v>
      </c>
      <c r="B95" s="3" t="s">
        <v>12</v>
      </c>
      <c r="C95" s="3" t="s">
        <v>9</v>
      </c>
      <c r="D95" s="4" t="str">
        <f>IFERROR(__xludf.DUMMYFUNCTION("GOOGLETRANSLATE(A95, ""en"", ""zh-CN"")"),"协助")</f>
        <v>协助</v>
      </c>
    </row>
    <row r="96" ht="15.75" customHeight="1">
      <c r="A96" s="3" t="s">
        <v>110</v>
      </c>
      <c r="B96" s="3" t="s">
        <v>22</v>
      </c>
      <c r="C96" s="3" t="s">
        <v>6</v>
      </c>
      <c r="D96" s="4" t="str">
        <f>IFERROR(__xludf.DUMMYFUNCTION("GOOGLETRANSLATE(A96, ""en"", ""zh-CN"")"),"生气的")</f>
        <v>生气的</v>
      </c>
    </row>
    <row r="97" ht="15.75" customHeight="1">
      <c r="A97" s="3" t="s">
        <v>111</v>
      </c>
      <c r="B97" s="3" t="s">
        <v>8</v>
      </c>
      <c r="C97" s="3" t="s">
        <v>13</v>
      </c>
      <c r="D97" s="4" t="str">
        <f>IFERROR(__xludf.DUMMYFUNCTION("GOOGLETRANSLATE(A97, ""en"", ""zh-CN"")"),"行政")</f>
        <v>行政</v>
      </c>
    </row>
    <row r="98" ht="15.75" customHeight="1">
      <c r="A98" s="3" t="s">
        <v>112</v>
      </c>
      <c r="B98" s="3" t="s">
        <v>8</v>
      </c>
      <c r="C98" s="3" t="s">
        <v>6</v>
      </c>
      <c r="D98" s="4" t="str">
        <f>IFERROR(__xludf.DUMMYFUNCTION("GOOGLETRANSLATE(A98, ""en"", ""zh-CN"")"),"动物")</f>
        <v>动物</v>
      </c>
    </row>
    <row r="99" ht="15.75" customHeight="1">
      <c r="A99" s="3" t="s">
        <v>113</v>
      </c>
      <c r="B99" s="3" t="s">
        <v>12</v>
      </c>
      <c r="C99" s="3" t="s">
        <v>13</v>
      </c>
      <c r="D99" s="4" t="str">
        <f>IFERROR(__xludf.DUMMYFUNCTION("GOOGLETRANSLATE(A99, ""en"", ""zh-CN"")"),"联系")</f>
        <v>联系</v>
      </c>
    </row>
    <row r="100" ht="15.75" customHeight="1">
      <c r="A100" s="3" t="s">
        <v>114</v>
      </c>
      <c r="B100" s="3" t="s">
        <v>12</v>
      </c>
      <c r="C100" s="3" t="s">
        <v>9</v>
      </c>
      <c r="D100" s="4" t="str">
        <f>IFERROR(__xludf.DUMMYFUNCTION("GOOGLETRANSLATE(A100, ""en"", ""zh-CN"")"),"钦佩")</f>
        <v>钦佩</v>
      </c>
    </row>
    <row r="101" ht="15.75" customHeight="1">
      <c r="A101" s="3" t="s">
        <v>115</v>
      </c>
      <c r="B101" s="3" t="s">
        <v>8</v>
      </c>
      <c r="C101" s="3" t="s">
        <v>16</v>
      </c>
      <c r="D101" s="4" t="str">
        <f>IFERROR(__xludf.DUMMYFUNCTION("GOOGLETRANSLATE(A101, ""en"", ""zh-CN"")"),"踝")</f>
        <v>踝</v>
      </c>
    </row>
    <row r="102" ht="15.75" customHeight="1">
      <c r="A102" s="3" t="s">
        <v>116</v>
      </c>
      <c r="B102" s="3" t="s">
        <v>22</v>
      </c>
      <c r="C102" s="3" t="s">
        <v>13</v>
      </c>
      <c r="D102" s="4" t="str">
        <f>IFERROR(__xludf.DUMMYFUNCTION("GOOGLETRANSLATE(A102, ""en"", ""zh-CN"")"),"联系")</f>
        <v>联系</v>
      </c>
    </row>
    <row r="103" ht="15.75" customHeight="1">
      <c r="A103" s="3" t="s">
        <v>117</v>
      </c>
      <c r="B103" s="3" t="s">
        <v>12</v>
      </c>
      <c r="C103" s="3" t="s">
        <v>9</v>
      </c>
      <c r="D103" s="4" t="str">
        <f>IFERROR(__xludf.DUMMYFUNCTION("GOOGLETRANSLATE(A103, ""en"", ""zh-CN"")"),"承认")</f>
        <v>承认</v>
      </c>
    </row>
    <row r="104" ht="15.75" customHeight="1">
      <c r="A104" s="3" t="s">
        <v>118</v>
      </c>
      <c r="B104" s="3" t="s">
        <v>8</v>
      </c>
      <c r="C104" s="3" t="s">
        <v>13</v>
      </c>
      <c r="D104" s="4" t="str">
        <f>IFERROR(__xludf.DUMMYFUNCTION("GOOGLETRANSLATE(A104, ""en"", ""zh-CN"")"),"周年纪念日")</f>
        <v>周年纪念日</v>
      </c>
    </row>
    <row r="105" ht="15.75" customHeight="1">
      <c r="A105" s="3" t="s">
        <v>119</v>
      </c>
      <c r="B105" s="3" t="s">
        <v>8</v>
      </c>
      <c r="C105" s="3" t="s">
        <v>13</v>
      </c>
      <c r="D105" s="4" t="str">
        <f>IFERROR(__xludf.DUMMYFUNCTION("GOOGLETRANSLATE(A105, ""en"", ""zh-CN"")"),"协会")</f>
        <v>协会</v>
      </c>
    </row>
    <row r="106" ht="15.75" customHeight="1">
      <c r="A106" s="3" t="s">
        <v>120</v>
      </c>
      <c r="B106" s="3" t="s">
        <v>12</v>
      </c>
      <c r="C106" s="3" t="s">
        <v>13</v>
      </c>
      <c r="D106" s="4" t="str">
        <f>IFERROR(__xludf.DUMMYFUNCTION("GOOGLETRANSLATE(A106, ""en"", ""zh-CN"")"),"采纳")</f>
        <v>采纳</v>
      </c>
    </row>
    <row r="107" ht="15.75" customHeight="1">
      <c r="A107" s="3" t="s">
        <v>121</v>
      </c>
      <c r="B107" s="3" t="s">
        <v>12</v>
      </c>
      <c r="C107" s="3" t="s">
        <v>9</v>
      </c>
      <c r="D107" s="4" t="str">
        <f>IFERROR(__xludf.DUMMYFUNCTION("GOOGLETRANSLATE(A107, ""en"", ""zh-CN"")"),"宣布")</f>
        <v>宣布</v>
      </c>
    </row>
    <row r="108" ht="15.75" customHeight="1">
      <c r="A108" s="3" t="s">
        <v>122</v>
      </c>
      <c r="B108" s="3" t="s">
        <v>12</v>
      </c>
      <c r="C108" s="3" t="s">
        <v>13</v>
      </c>
      <c r="D108" s="4" t="str">
        <f>IFERROR(__xludf.DUMMYFUNCTION("GOOGLETRANSLATE(A108, ""en"", ""zh-CN"")"),"认为")</f>
        <v>认为</v>
      </c>
    </row>
    <row r="109" ht="15.75" customHeight="1">
      <c r="A109" s="3" t="s">
        <v>123</v>
      </c>
      <c r="B109" s="3" t="s">
        <v>8</v>
      </c>
      <c r="C109" s="3" t="s">
        <v>9</v>
      </c>
      <c r="D109" s="4" t="str">
        <f>IFERROR(__xludf.DUMMYFUNCTION("GOOGLETRANSLATE(A109, ""en"", ""zh-CN"")"),"公告")</f>
        <v>公告</v>
      </c>
    </row>
    <row r="110" ht="15.75" customHeight="1">
      <c r="A110" s="3" t="s">
        <v>124</v>
      </c>
      <c r="B110" s="3" t="s">
        <v>88</v>
      </c>
      <c r="C110" s="3" t="s">
        <v>6</v>
      </c>
      <c r="D110" s="4" t="str">
        <f>IFERROR(__xludf.DUMMYFUNCTION("GOOGLETRANSLATE(A110, ""en"", ""zh-CN"")"),"在")</f>
        <v>在</v>
      </c>
    </row>
    <row r="111" ht="15.75" customHeight="1">
      <c r="A111" s="3" t="s">
        <v>125</v>
      </c>
      <c r="B111" s="3" t="s">
        <v>12</v>
      </c>
      <c r="C111" s="3" t="s">
        <v>9</v>
      </c>
      <c r="D111" s="4" t="str">
        <f>IFERROR(__xludf.DUMMYFUNCTION("GOOGLETRANSLATE(A111, ""en"", ""zh-CN"")"),"烦人")</f>
        <v>烦人</v>
      </c>
    </row>
    <row r="112" ht="15.75" customHeight="1">
      <c r="A112" s="3" t="s">
        <v>126</v>
      </c>
      <c r="B112" s="3" t="s">
        <v>8</v>
      </c>
      <c r="C112" s="3" t="s">
        <v>16</v>
      </c>
      <c r="D112" s="4" t="str">
        <f>IFERROR(__xludf.DUMMYFUNCTION("GOOGLETRANSLATE(A112, ""en"", ""zh-CN"")"),"运动员")</f>
        <v>运动员</v>
      </c>
    </row>
    <row r="113" ht="15.75" customHeight="1">
      <c r="A113" s="3" t="s">
        <v>127</v>
      </c>
      <c r="B113" s="3" t="s">
        <v>22</v>
      </c>
      <c r="C113" s="3" t="s">
        <v>9</v>
      </c>
      <c r="D113" s="4" t="str">
        <f>IFERROR(__xludf.DUMMYFUNCTION("GOOGLETRANSLATE(A113, ""en"", ""zh-CN"")"),"先进的")</f>
        <v>先进的</v>
      </c>
    </row>
    <row r="114" ht="15.75" customHeight="1">
      <c r="A114" s="3" t="s">
        <v>128</v>
      </c>
      <c r="B114" s="3" t="s">
        <v>22</v>
      </c>
      <c r="C114" s="3" t="s">
        <v>9</v>
      </c>
      <c r="D114" s="4" t="str">
        <f>IFERROR(__xludf.DUMMYFUNCTION("GOOGLETRANSLATE(A114, ""en"", ""zh-CN"")"),"恼火")</f>
        <v>恼火</v>
      </c>
    </row>
    <row r="115" ht="15.75" customHeight="1">
      <c r="A115" s="3" t="s">
        <v>129</v>
      </c>
      <c r="B115" s="3" t="s">
        <v>8</v>
      </c>
      <c r="C115" s="3" t="s">
        <v>9</v>
      </c>
      <c r="D115" s="4" t="str">
        <f>IFERROR(__xludf.DUMMYFUNCTION("GOOGLETRANSLATE(A115, ""en"", ""zh-CN"")"),"气氛")</f>
        <v>气氛</v>
      </c>
    </row>
    <row r="116" ht="15.75" customHeight="1">
      <c r="A116" s="3" t="s">
        <v>130</v>
      </c>
      <c r="B116" s="3" t="s">
        <v>8</v>
      </c>
      <c r="C116" s="3" t="s">
        <v>16</v>
      </c>
      <c r="D116" s="4" t="str">
        <f>IFERROR(__xludf.DUMMYFUNCTION("GOOGLETRANSLATE(A116, ""en"", ""zh-CN"")"),"优势")</f>
        <v>优势</v>
      </c>
    </row>
    <row r="117" ht="15.75" customHeight="1">
      <c r="A117" s="3" t="s">
        <v>131</v>
      </c>
      <c r="B117" s="3" t="s">
        <v>22</v>
      </c>
      <c r="C117" s="3" t="s">
        <v>9</v>
      </c>
      <c r="D117" s="4" t="str">
        <f>IFERROR(__xludf.DUMMYFUNCTION("GOOGLETRANSLATE(A117, ""en"", ""zh-CN"")"),"恼人的")</f>
        <v>恼人的</v>
      </c>
    </row>
    <row r="118" ht="15.75" customHeight="1">
      <c r="A118" s="3" t="s">
        <v>132</v>
      </c>
      <c r="B118" s="3" t="s">
        <v>12</v>
      </c>
      <c r="C118" s="3" t="s">
        <v>9</v>
      </c>
      <c r="D118" s="4" t="str">
        <f>IFERROR(__xludf.DUMMYFUNCTION("GOOGLETRANSLATE(A118, ""en"", ""zh-CN"")"),"附")</f>
        <v>附</v>
      </c>
    </row>
    <row r="119" ht="15.75" customHeight="1">
      <c r="A119" s="3" t="s">
        <v>133</v>
      </c>
      <c r="B119" s="3" t="s">
        <v>8</v>
      </c>
      <c r="C119" s="3" t="s">
        <v>16</v>
      </c>
      <c r="D119" s="4" t="str">
        <f>IFERROR(__xludf.DUMMYFUNCTION("GOOGLETRANSLATE(A119, ""en"", ""zh-CN"")"),"冒险")</f>
        <v>冒险</v>
      </c>
    </row>
    <row r="120" ht="15.75" customHeight="1">
      <c r="A120" s="3" t="s">
        <v>134</v>
      </c>
      <c r="B120" s="3" t="s">
        <v>22</v>
      </c>
      <c r="C120" s="3" t="s">
        <v>13</v>
      </c>
      <c r="D120" s="4" t="str">
        <f>IFERROR(__xludf.DUMMYFUNCTION("GOOGLETRANSLATE(A120, ""en"", ""zh-CN"")"),"年度的")</f>
        <v>年度的</v>
      </c>
    </row>
    <row r="121" ht="15.75" customHeight="1">
      <c r="A121" s="3" t="s">
        <v>135</v>
      </c>
      <c r="B121" s="3" t="s">
        <v>12</v>
      </c>
      <c r="C121" s="3" t="s">
        <v>16</v>
      </c>
      <c r="D121" s="4" t="str">
        <f>IFERROR(__xludf.DUMMYFUNCTION("GOOGLETRANSLATE(A121, ""en"", ""zh-CN"")"),"广告")</f>
        <v>广告</v>
      </c>
    </row>
    <row r="122" ht="15.75" customHeight="1">
      <c r="A122" s="3" t="s">
        <v>136</v>
      </c>
      <c r="B122" s="3" t="s">
        <v>137</v>
      </c>
      <c r="C122" s="3" t="s">
        <v>6</v>
      </c>
      <c r="D122" s="4" t="str">
        <f>IFERROR(__xludf.DUMMYFUNCTION("GOOGLETRANSLATE(A122, ""en"", ""zh-CN"")"),"其他")</f>
        <v>其他</v>
      </c>
    </row>
    <row r="123" ht="15.75" customHeight="1">
      <c r="A123" s="3" t="s">
        <v>138</v>
      </c>
      <c r="B123" s="3" t="s">
        <v>8</v>
      </c>
      <c r="C123" s="3" t="s">
        <v>16</v>
      </c>
      <c r="D123" s="4" t="str">
        <f>IFERROR(__xludf.DUMMYFUNCTION("GOOGLETRANSLATE(A123, ""en"", ""zh-CN"")"),"广告")</f>
        <v>广告</v>
      </c>
    </row>
    <row r="124" ht="15.75" customHeight="1">
      <c r="A124" s="3" t="s">
        <v>139</v>
      </c>
      <c r="B124" s="3" t="s">
        <v>12</v>
      </c>
      <c r="C124" s="3" t="s">
        <v>16</v>
      </c>
      <c r="D124" s="4" t="str">
        <f>IFERROR(__xludf.DUMMYFUNCTION("GOOGLETRANSLATE(A124, ""en"", ""zh-CN"")"),"出席")</f>
        <v>出席</v>
      </c>
    </row>
    <row r="125" ht="15.75" customHeight="1">
      <c r="A125" s="3" t="s">
        <v>140</v>
      </c>
      <c r="B125" s="3" t="s">
        <v>8</v>
      </c>
      <c r="C125" s="3" t="s">
        <v>16</v>
      </c>
      <c r="D125" s="4" t="str">
        <f>IFERROR(__xludf.DUMMYFUNCTION("GOOGLETRANSLATE(A125, ""en"", ""zh-CN"")"),"广告")</f>
        <v>广告</v>
      </c>
    </row>
    <row r="126" ht="15.75" customHeight="1">
      <c r="A126" s="3" t="s">
        <v>141</v>
      </c>
      <c r="B126" s="3" t="s">
        <v>22</v>
      </c>
      <c r="C126" s="3" t="s">
        <v>13</v>
      </c>
      <c r="D126" s="4" t="str">
        <f>IFERROR(__xludf.DUMMYFUNCTION("GOOGLETRANSLATE(A126, ""en"", ""zh-CN"")"),"焦虑的")</f>
        <v>焦虑的</v>
      </c>
    </row>
    <row r="127" ht="15.75" customHeight="1">
      <c r="A127" s="3" t="s">
        <v>142</v>
      </c>
      <c r="B127" s="3" t="s">
        <v>8</v>
      </c>
      <c r="C127" s="3" t="s">
        <v>6</v>
      </c>
      <c r="D127" s="4" t="str">
        <f>IFERROR(__xludf.DUMMYFUNCTION("GOOGLETRANSLATE(A127, ""en"", ""zh-CN"")"),"建议")</f>
        <v>建议</v>
      </c>
    </row>
    <row r="128" ht="15.75" customHeight="1">
      <c r="A128" s="3" t="s">
        <v>143</v>
      </c>
      <c r="B128" s="3" t="s">
        <v>8</v>
      </c>
      <c r="C128" s="3" t="s">
        <v>9</v>
      </c>
      <c r="D128" s="4" t="str">
        <f>IFERROR(__xludf.DUMMYFUNCTION("GOOGLETRANSLATE(A128, ""en"", ""zh-CN"")"),"态度")</f>
        <v>态度</v>
      </c>
    </row>
    <row r="129" ht="15.75" customHeight="1">
      <c r="A129" s="3" t="s">
        <v>144</v>
      </c>
      <c r="B129" s="3" t="s">
        <v>12</v>
      </c>
      <c r="C129" s="3" t="s">
        <v>9</v>
      </c>
      <c r="D129" s="4" t="str">
        <f>IFERROR(__xludf.DUMMYFUNCTION("GOOGLETRANSLATE(A129, ""en"", ""zh-CN"")"),"建议")</f>
        <v>建议</v>
      </c>
    </row>
    <row r="130" ht="15.75" customHeight="1">
      <c r="A130" s="3" t="s">
        <v>145</v>
      </c>
      <c r="B130" s="3" t="s">
        <v>146</v>
      </c>
      <c r="C130" s="3" t="s">
        <v>16</v>
      </c>
      <c r="D130" s="4" t="str">
        <f>IFERROR(__xludf.DUMMYFUNCTION("GOOGLETRANSLATE(A130, ""en"", ""zh-CN"")"),"任何人")</f>
        <v>任何人</v>
      </c>
    </row>
    <row r="131" ht="15.75" customHeight="1">
      <c r="A131" s="3" t="s">
        <v>147</v>
      </c>
      <c r="B131" s="3" t="s">
        <v>12</v>
      </c>
      <c r="C131" s="3" t="s">
        <v>9</v>
      </c>
      <c r="D131" s="4" t="str">
        <f>IFERROR(__xludf.DUMMYFUNCTION("GOOGLETRANSLATE(A131, ""en"", ""zh-CN"")"),"吸引")</f>
        <v>吸引</v>
      </c>
    </row>
    <row r="132" ht="15.75" customHeight="1">
      <c r="A132" s="3" t="s">
        <v>148</v>
      </c>
      <c r="B132" s="3" t="s">
        <v>8</v>
      </c>
      <c r="C132" s="3" t="s">
        <v>13</v>
      </c>
      <c r="D132" s="4" t="str">
        <f>IFERROR(__xludf.DUMMYFUNCTION("GOOGLETRANSLATE(A132, ""en"", ""zh-CN"")"),"事务")</f>
        <v>事务</v>
      </c>
    </row>
    <row r="133" ht="15.75" customHeight="1">
      <c r="A133" s="3" t="s">
        <v>149</v>
      </c>
      <c r="B133" s="3" t="s">
        <v>8</v>
      </c>
      <c r="C133" s="3" t="s">
        <v>9</v>
      </c>
      <c r="D133" s="4" t="str">
        <f>IFERROR(__xludf.DUMMYFUNCTION("GOOGLETRANSLATE(A133, ""en"", ""zh-CN"")"),"吸引力")</f>
        <v>吸引力</v>
      </c>
    </row>
    <row r="134" ht="15.75" customHeight="1">
      <c r="A134" s="3" t="s">
        <v>150</v>
      </c>
      <c r="B134" s="3" t="s">
        <v>12</v>
      </c>
      <c r="C134" s="3" t="s">
        <v>16</v>
      </c>
      <c r="D134" s="4" t="str">
        <f>IFERROR(__xludf.DUMMYFUNCTION("GOOGLETRANSLATE(A134, ""en"", ""zh-CN"")"),"影响")</f>
        <v>影响</v>
      </c>
    </row>
    <row r="135" ht="15.75" customHeight="1">
      <c r="A135" s="3" t="s">
        <v>151</v>
      </c>
      <c r="B135" s="3" t="s">
        <v>146</v>
      </c>
      <c r="C135" s="3" t="s">
        <v>6</v>
      </c>
      <c r="D135" s="4" t="str">
        <f>IFERROR(__xludf.DUMMYFUNCTION("GOOGLETRANSLATE(A135, ""en"", ""zh-CN"")"),"任何人")</f>
        <v>任何人</v>
      </c>
    </row>
    <row r="136" ht="15.75" customHeight="1">
      <c r="A136" s="3" t="s">
        <v>152</v>
      </c>
      <c r="B136" s="3" t="s">
        <v>22</v>
      </c>
      <c r="C136" s="3" t="s">
        <v>16</v>
      </c>
      <c r="D136" s="4" t="str">
        <f>IFERROR(__xludf.DUMMYFUNCTION("GOOGLETRANSLATE(A136, ""en"", ""zh-CN"")"),"吸引人的")</f>
        <v>吸引人的</v>
      </c>
    </row>
    <row r="137" ht="15.75" customHeight="1">
      <c r="A137" s="3" t="s">
        <v>153</v>
      </c>
      <c r="B137" s="3" t="s">
        <v>12</v>
      </c>
      <c r="C137" s="3" t="s">
        <v>9</v>
      </c>
      <c r="D137" s="4" t="str">
        <f>IFERROR(__xludf.DUMMYFUNCTION("GOOGLETRANSLATE(A137, ""en"", ""zh-CN"")"),"买得起")</f>
        <v>买得起</v>
      </c>
    </row>
    <row r="138" ht="15.75" customHeight="1">
      <c r="A138" s="3" t="s">
        <v>154</v>
      </c>
      <c r="B138" s="3" t="s">
        <v>146</v>
      </c>
      <c r="C138" s="3" t="s">
        <v>6</v>
      </c>
      <c r="D138" s="4" t="str">
        <f>IFERROR(__xludf.DUMMYFUNCTION("GOOGLETRANSLATE(A138, ""en"", ""zh-CN"")"),"任何事物")</f>
        <v>任何事物</v>
      </c>
    </row>
    <row r="139" ht="15.75" customHeight="1">
      <c r="A139" s="3" t="s">
        <v>155</v>
      </c>
      <c r="B139" s="3" t="s">
        <v>8</v>
      </c>
      <c r="C139" s="3" t="s">
        <v>16</v>
      </c>
      <c r="D139" s="4" t="str">
        <f>IFERROR(__xludf.DUMMYFUNCTION("GOOGLETRANSLATE(A139, ""en"", ""zh-CN"")"),"观众")</f>
        <v>观众</v>
      </c>
    </row>
    <row r="140" ht="15.75" customHeight="1">
      <c r="A140" s="3" t="s">
        <v>156</v>
      </c>
      <c r="B140" s="3" t="s">
        <v>22</v>
      </c>
      <c r="C140" s="3" t="s">
        <v>6</v>
      </c>
      <c r="D140" s="4" t="str">
        <f>IFERROR(__xludf.DUMMYFUNCTION("GOOGLETRANSLATE(A140, ""en"", ""zh-CN"")"),"害怕的")</f>
        <v>害怕的</v>
      </c>
    </row>
    <row r="141" ht="15.75" customHeight="1">
      <c r="A141" s="3" t="s">
        <v>157</v>
      </c>
      <c r="B141" s="3" t="s">
        <v>20</v>
      </c>
      <c r="C141" s="3" t="s">
        <v>16</v>
      </c>
      <c r="D141" s="4" t="str">
        <f>IFERROR(__xludf.DUMMYFUNCTION("GOOGLETRANSLATE(A141, ""en"", ""zh-CN"")"),"反正")</f>
        <v>反正</v>
      </c>
    </row>
    <row r="142" ht="15.75" customHeight="1">
      <c r="A142" s="3" t="s">
        <v>158</v>
      </c>
      <c r="B142" s="3" t="s">
        <v>8</v>
      </c>
      <c r="C142" s="3" t="s">
        <v>6</v>
      </c>
      <c r="D142" s="4" t="str">
        <f>IFERROR(__xludf.DUMMYFUNCTION("GOOGLETRANSLATE(A142, ""en"", ""zh-CN"")"),"八月")</f>
        <v>八月</v>
      </c>
    </row>
    <row r="143" ht="15.75" customHeight="1">
      <c r="A143" s="3" t="s">
        <v>159</v>
      </c>
      <c r="B143" s="3" t="s">
        <v>8</v>
      </c>
      <c r="C143" s="3" t="s">
        <v>6</v>
      </c>
      <c r="D143" s="4" t="str">
        <f>IFERROR(__xludf.DUMMYFUNCTION("GOOGLETRANSLATE(A143, ""en"", ""zh-CN"")"),"阿姨")</f>
        <v>阿姨</v>
      </c>
    </row>
    <row r="144" ht="15.75" customHeight="1">
      <c r="A144" s="3" t="s">
        <v>160</v>
      </c>
      <c r="B144" s="3" t="s">
        <v>8</v>
      </c>
      <c r="C144" s="3" t="s">
        <v>6</v>
      </c>
      <c r="D144" s="4" t="str">
        <f>IFERROR(__xludf.DUMMYFUNCTION("GOOGLETRANSLATE(A144, ""en"", ""zh-CN"")"),"下午")</f>
        <v>下午</v>
      </c>
    </row>
    <row r="145" ht="15.75" customHeight="1">
      <c r="A145" s="3" t="s">
        <v>161</v>
      </c>
      <c r="B145" s="3" t="s">
        <v>20</v>
      </c>
      <c r="C145" s="3" t="s">
        <v>9</v>
      </c>
      <c r="D145" s="4" t="str">
        <f>IFERROR(__xludf.DUMMYFUNCTION("GOOGLETRANSLATE(A145, ""en"", ""zh-CN"")"),"除外")</f>
        <v>除外</v>
      </c>
    </row>
    <row r="146" ht="15.75" customHeight="1">
      <c r="A146" s="3" t="s">
        <v>162</v>
      </c>
      <c r="B146" s="3" t="s">
        <v>8</v>
      </c>
      <c r="C146" s="3" t="s">
        <v>16</v>
      </c>
      <c r="D146" s="4" t="str">
        <f>IFERROR(__xludf.DUMMYFUNCTION("GOOGLETRANSLATE(A146, ""en"", ""zh-CN"")"),"作者")</f>
        <v>作者</v>
      </c>
    </row>
    <row r="147" ht="15.75" customHeight="1">
      <c r="A147" s="3" t="s">
        <v>163</v>
      </c>
      <c r="B147" s="3" t="s">
        <v>20</v>
      </c>
      <c r="C147" s="3" t="s">
        <v>13</v>
      </c>
      <c r="D147" s="4" t="str">
        <f>IFERROR(__xludf.DUMMYFUNCTION("GOOGLETRANSLATE(A147, ""en"", ""zh-CN"")"),"然后")</f>
        <v>然后</v>
      </c>
    </row>
    <row r="148" ht="15.75" customHeight="1">
      <c r="A148" s="3" t="s">
        <v>164</v>
      </c>
      <c r="B148" s="3" t="s">
        <v>8</v>
      </c>
      <c r="C148" s="3" t="s">
        <v>6</v>
      </c>
      <c r="D148" s="4" t="str">
        <f>IFERROR(__xludf.DUMMYFUNCTION("GOOGLETRANSLATE(A148, ""en"", ""zh-CN"")"),"公寓")</f>
        <v>公寓</v>
      </c>
    </row>
    <row r="149" ht="15.75" customHeight="1">
      <c r="A149" s="3" t="s">
        <v>165</v>
      </c>
      <c r="B149" s="3" t="s">
        <v>8</v>
      </c>
      <c r="C149" s="3" t="s">
        <v>9</v>
      </c>
      <c r="D149" s="4" t="str">
        <f>IFERROR(__xludf.DUMMYFUNCTION("GOOGLETRANSLATE(A149, ""en"", ""zh-CN"")"),"权威")</f>
        <v>权威</v>
      </c>
    </row>
    <row r="150" ht="15.75" customHeight="1">
      <c r="A150" s="3" t="s">
        <v>166</v>
      </c>
      <c r="B150" s="3" t="s">
        <v>20</v>
      </c>
      <c r="C150" s="3" t="s">
        <v>6</v>
      </c>
      <c r="D150" s="4" t="str">
        <f>IFERROR(__xludf.DUMMYFUNCTION("GOOGLETRANSLATE(A150, ""en"", ""zh-CN"")"),"再次")</f>
        <v>再次</v>
      </c>
    </row>
    <row r="151" ht="15.75" customHeight="1">
      <c r="A151" s="3" t="s">
        <v>167</v>
      </c>
      <c r="B151" s="3" t="s">
        <v>12</v>
      </c>
      <c r="C151" s="3" t="s">
        <v>9</v>
      </c>
      <c r="D151" s="4" t="str">
        <f>IFERROR(__xludf.DUMMYFUNCTION("GOOGLETRANSLATE(A151, ""en"", ""zh-CN"")"),"道歉")</f>
        <v>道歉</v>
      </c>
    </row>
    <row r="152" ht="15.75" customHeight="1">
      <c r="A152" s="3" t="s">
        <v>168</v>
      </c>
      <c r="B152" s="3" t="s">
        <v>8</v>
      </c>
      <c r="C152" s="3" t="s">
        <v>6</v>
      </c>
      <c r="D152" s="4" t="str">
        <f>IFERROR(__xludf.DUMMYFUNCTION("GOOGLETRANSLATE(A152, ""en"", ""zh-CN"")"),"秋天")</f>
        <v>秋天</v>
      </c>
    </row>
    <row r="153" ht="15.75" customHeight="1">
      <c r="A153" s="3" t="s">
        <v>169</v>
      </c>
      <c r="B153" s="3" t="s">
        <v>88</v>
      </c>
      <c r="C153" s="3" t="s">
        <v>16</v>
      </c>
      <c r="D153" s="4" t="str">
        <f>IFERROR(__xludf.DUMMYFUNCTION("GOOGLETRANSLATE(A153, ""en"", ""zh-CN"")"),"反对")</f>
        <v>反对</v>
      </c>
    </row>
    <row r="154" ht="15.75" customHeight="1">
      <c r="A154" s="3" t="s">
        <v>170</v>
      </c>
      <c r="B154" s="3" t="s">
        <v>8</v>
      </c>
      <c r="C154" s="3" t="s">
        <v>16</v>
      </c>
      <c r="D154" s="4" t="str">
        <f>IFERROR(__xludf.DUMMYFUNCTION("GOOGLETRANSLATE(A154, ""en"", ""zh-CN"")"),"应用程序")</f>
        <v>应用程序</v>
      </c>
    </row>
    <row r="155" ht="15.75" customHeight="1">
      <c r="A155" s="3" t="s">
        <v>171</v>
      </c>
      <c r="B155" s="3" t="s">
        <v>22</v>
      </c>
      <c r="C155" s="3" t="s">
        <v>16</v>
      </c>
      <c r="D155" s="4" t="str">
        <f>IFERROR(__xludf.DUMMYFUNCTION("GOOGLETRANSLATE(A155, ""en"", ""zh-CN"")"),"可用的")</f>
        <v>可用的</v>
      </c>
    </row>
    <row r="156" ht="15.75" customHeight="1">
      <c r="A156" s="3" t="s">
        <v>172</v>
      </c>
      <c r="B156" s="3" t="s">
        <v>22</v>
      </c>
      <c r="C156" s="3" t="s">
        <v>13</v>
      </c>
      <c r="D156" s="4" t="str">
        <f>IFERROR(__xludf.DUMMYFUNCTION("GOOGLETRANSLATE(A156, ""en"", ""zh-CN"")"),"显而易见")</f>
        <v>显而易见</v>
      </c>
    </row>
    <row r="157" ht="15.75" customHeight="1">
      <c r="A157" s="3" t="s">
        <v>173</v>
      </c>
      <c r="B157" s="3" t="s">
        <v>22</v>
      </c>
      <c r="C157" s="3" t="s">
        <v>9</v>
      </c>
      <c r="D157" s="4" t="str">
        <f>IFERROR(__xludf.DUMMYFUNCTION("GOOGLETRANSLATE(A157, ""en"", ""zh-CN"")"),"老化")</f>
        <v>老化</v>
      </c>
    </row>
    <row r="158" ht="15.75" customHeight="1">
      <c r="A158" s="3" t="s">
        <v>174</v>
      </c>
      <c r="B158" s="3" t="s">
        <v>20</v>
      </c>
      <c r="C158" s="3" t="s">
        <v>13</v>
      </c>
      <c r="D158" s="4" t="str">
        <f>IFERROR(__xludf.DUMMYFUNCTION("GOOGLETRANSLATE(A158, ""en"", ""zh-CN"")"),"显然")</f>
        <v>显然</v>
      </c>
    </row>
    <row r="159" ht="15.75" customHeight="1">
      <c r="A159" s="3" t="s">
        <v>175</v>
      </c>
      <c r="B159" s="3" t="s">
        <v>12</v>
      </c>
      <c r="C159" s="3" t="s">
        <v>16</v>
      </c>
      <c r="D159" s="4" t="str">
        <f>IFERROR(__xludf.DUMMYFUNCTION("GOOGLETRANSLATE(A159, ""en"", ""zh-CN"")"),"避免")</f>
        <v>避免</v>
      </c>
    </row>
    <row r="160" ht="15.75" customHeight="1">
      <c r="A160" s="3" t="s">
        <v>176</v>
      </c>
      <c r="B160" s="3" t="s">
        <v>8</v>
      </c>
      <c r="C160" s="3" t="s">
        <v>13</v>
      </c>
      <c r="D160" s="4" t="str">
        <f>IFERROR(__xludf.DUMMYFUNCTION("GOOGLETRANSLATE(A160, ""en"", ""zh-CN"")"),"机构")</f>
        <v>机构</v>
      </c>
    </row>
    <row r="161" ht="15.75" customHeight="1">
      <c r="A161" s="3" t="s">
        <v>177</v>
      </c>
      <c r="B161" s="3" t="s">
        <v>8</v>
      </c>
      <c r="C161" s="3" t="s">
        <v>13</v>
      </c>
      <c r="D161" s="4" t="str">
        <f>IFERROR(__xludf.DUMMYFUNCTION("GOOGLETRANSLATE(A161, ""en"", ""zh-CN"")"),"议程")</f>
        <v>议程</v>
      </c>
    </row>
    <row r="162" ht="15.75" customHeight="1">
      <c r="A162" s="3" t="s">
        <v>178</v>
      </c>
      <c r="B162" s="3" t="s">
        <v>12</v>
      </c>
      <c r="C162" s="3" t="s">
        <v>16</v>
      </c>
      <c r="D162" s="4" t="str">
        <f>IFERROR(__xludf.DUMMYFUNCTION("GOOGLETRANSLATE(A162, ""en"", ""zh-CN"")"),"出现")</f>
        <v>出现</v>
      </c>
    </row>
    <row r="163" ht="15.75" customHeight="1">
      <c r="A163" s="3" t="s">
        <v>179</v>
      </c>
      <c r="B163" s="3" t="s">
        <v>22</v>
      </c>
      <c r="C163" s="3" t="s">
        <v>9</v>
      </c>
      <c r="D163" s="4" t="str">
        <f>IFERROR(__xludf.DUMMYFUNCTION("GOOGLETRANSLATE(A163, ""en"", ""zh-CN"")"),"意识到的")</f>
        <v>意识到的</v>
      </c>
    </row>
    <row r="164" ht="15.75" customHeight="1">
      <c r="A164" s="3" t="s">
        <v>180</v>
      </c>
      <c r="B164" s="3" t="s">
        <v>8</v>
      </c>
      <c r="C164" s="3" t="s">
        <v>9</v>
      </c>
      <c r="D164" s="4" t="str">
        <f>IFERROR(__xludf.DUMMYFUNCTION("GOOGLETRANSLATE(A164, ""en"", ""zh-CN"")"),"代理人")</f>
        <v>代理人</v>
      </c>
    </row>
    <row r="165" ht="15.75" customHeight="1">
      <c r="A165" s="3" t="s">
        <v>181</v>
      </c>
      <c r="B165" s="3" t="s">
        <v>8</v>
      </c>
      <c r="C165" s="3" t="s">
        <v>16</v>
      </c>
      <c r="D165" s="4" t="str">
        <f>IFERROR(__xludf.DUMMYFUNCTION("GOOGLETRANSLATE(A165, ""en"", ""zh-CN"")"),"外貌")</f>
        <v>外貌</v>
      </c>
    </row>
    <row r="166" ht="15.75" customHeight="1">
      <c r="A166" s="3" t="s">
        <v>182</v>
      </c>
      <c r="B166" s="3" t="s">
        <v>20</v>
      </c>
      <c r="C166" s="3" t="s">
        <v>6</v>
      </c>
      <c r="D166" s="4" t="str">
        <f>IFERROR(__xludf.DUMMYFUNCTION("GOOGLETRANSLATE(A166, ""en"", ""zh-CN"")"),"离开")</f>
        <v>离开</v>
      </c>
    </row>
    <row r="167" ht="15.75" customHeight="1">
      <c r="A167" s="3" t="s">
        <v>183</v>
      </c>
      <c r="B167" s="3" t="s">
        <v>22</v>
      </c>
      <c r="C167" s="3" t="s">
        <v>13</v>
      </c>
      <c r="D167" s="4" t="str">
        <f>IFERROR(__xludf.DUMMYFUNCTION("GOOGLETRANSLATE(A167, ""en"", ""zh-CN"")"),"挑衅的")</f>
        <v>挑衅的</v>
      </c>
    </row>
    <row r="168" ht="15.75" customHeight="1">
      <c r="A168" s="3" t="s">
        <v>184</v>
      </c>
      <c r="B168" s="3" t="s">
        <v>8</v>
      </c>
      <c r="C168" s="3" t="s">
        <v>6</v>
      </c>
      <c r="D168" s="4" t="str">
        <f>IFERROR(__xludf.DUMMYFUNCTION("GOOGLETRANSLATE(A168, ""en"", ""zh-CN"")"),"苹果")</f>
        <v>苹果</v>
      </c>
    </row>
    <row r="169" ht="15.75" customHeight="1">
      <c r="A169" s="3" t="s">
        <v>185</v>
      </c>
      <c r="B169" s="3" t="s">
        <v>22</v>
      </c>
      <c r="C169" s="3" t="s">
        <v>16</v>
      </c>
      <c r="D169" s="4" t="str">
        <f>IFERROR(__xludf.DUMMYFUNCTION("GOOGLETRANSLATE(A169, ""en"", ""zh-CN"")"),"可怕")</f>
        <v>可怕</v>
      </c>
    </row>
    <row r="170" ht="15.75" customHeight="1">
      <c r="A170" s="3" t="s">
        <v>186</v>
      </c>
      <c r="B170" s="3" t="s">
        <v>20</v>
      </c>
      <c r="C170" s="3" t="s">
        <v>6</v>
      </c>
      <c r="D170" s="4" t="str">
        <f>IFERROR(__xludf.DUMMYFUNCTION("GOOGLETRANSLATE(A170, ""en"", ""zh-CN"")"),"前")</f>
        <v>前</v>
      </c>
    </row>
    <row r="171" ht="15.75" customHeight="1">
      <c r="A171" s="3" t="s">
        <v>187</v>
      </c>
      <c r="B171" s="3" t="s">
        <v>8</v>
      </c>
      <c r="C171" s="3" t="s">
        <v>9</v>
      </c>
      <c r="D171" s="4" t="str">
        <f>IFERROR(__xludf.DUMMYFUNCTION("GOOGLETRANSLATE(A171, ""en"", ""zh-CN"")"),"应用")</f>
        <v>应用</v>
      </c>
    </row>
    <row r="172" ht="15.75" customHeight="1">
      <c r="A172" s="3" t="s">
        <v>188</v>
      </c>
      <c r="B172" s="3" t="s">
        <v>12</v>
      </c>
      <c r="C172" s="3" t="s">
        <v>6</v>
      </c>
      <c r="D172" s="4" t="str">
        <f>IFERROR(__xludf.DUMMYFUNCTION("GOOGLETRANSLATE(A172, ""en"", ""zh-CN"")"),"同意")</f>
        <v>同意</v>
      </c>
    </row>
    <row r="173" ht="15.75" customHeight="1">
      <c r="A173" s="3" t="s">
        <v>189</v>
      </c>
      <c r="B173" s="3" t="s">
        <v>12</v>
      </c>
      <c r="C173" s="3" t="s">
        <v>16</v>
      </c>
      <c r="D173" s="4" t="str">
        <f>IFERROR(__xludf.DUMMYFUNCTION("GOOGLETRANSLATE(A173, ""en"", ""zh-CN"")"),"申请")</f>
        <v>申请</v>
      </c>
    </row>
    <row r="174" ht="15.75" customHeight="1">
      <c r="A174" s="3" t="s">
        <v>190</v>
      </c>
      <c r="B174" s="3" t="s">
        <v>8</v>
      </c>
      <c r="C174" s="3" t="s">
        <v>6</v>
      </c>
      <c r="D174" s="4" t="str">
        <f>IFERROR(__xludf.DUMMYFUNCTION("GOOGLETRANSLATE(A174, ""en"", ""zh-CN"")"),"婴儿")</f>
        <v>婴儿</v>
      </c>
    </row>
    <row r="175" ht="15.75" customHeight="1">
      <c r="A175" s="3" t="s">
        <v>191</v>
      </c>
      <c r="B175" s="3" t="s">
        <v>8</v>
      </c>
      <c r="C175" s="3" t="s">
        <v>9</v>
      </c>
      <c r="D175" s="4" t="str">
        <f>IFERROR(__xludf.DUMMYFUNCTION("GOOGLETRANSLATE(A175, ""en"", ""zh-CN"")"),"信仰")</f>
        <v>信仰</v>
      </c>
    </row>
    <row r="176" ht="15.75" customHeight="1">
      <c r="A176" s="3" t="s">
        <v>192</v>
      </c>
      <c r="B176" s="3" t="s">
        <v>8</v>
      </c>
      <c r="C176" s="3" t="s">
        <v>16</v>
      </c>
      <c r="D176" s="4" t="str">
        <f>IFERROR(__xludf.DUMMYFUNCTION("GOOGLETRANSLATE(A176, ""en"", ""zh-CN"")"),"老板")</f>
        <v>老板</v>
      </c>
    </row>
    <row r="177" ht="15.75" customHeight="1">
      <c r="A177" s="3" t="s">
        <v>193</v>
      </c>
      <c r="B177" s="3" t="s">
        <v>12</v>
      </c>
      <c r="C177" s="3" t="s">
        <v>6</v>
      </c>
      <c r="D177" s="4" t="str">
        <f>IFERROR(__xludf.DUMMYFUNCTION("GOOGLETRANSLATE(A177, ""en"", ""zh-CN"")"),"相信")</f>
        <v>相信</v>
      </c>
    </row>
    <row r="178" ht="15.75" customHeight="1">
      <c r="A178" s="3" t="s">
        <v>194</v>
      </c>
      <c r="B178" s="3" t="s">
        <v>137</v>
      </c>
      <c r="C178" s="3" t="s">
        <v>6</v>
      </c>
      <c r="D178" s="4" t="str">
        <f>IFERROR(__xludf.DUMMYFUNCTION("GOOGLETRANSLATE(A178, ""en"", ""zh-CN"")"),"两个都")</f>
        <v>两个都</v>
      </c>
    </row>
    <row r="179" ht="15.75" customHeight="1">
      <c r="A179" s="3" t="s">
        <v>195</v>
      </c>
      <c r="B179" s="3" t="s">
        <v>8</v>
      </c>
      <c r="C179" s="3" t="s">
        <v>16</v>
      </c>
      <c r="D179" s="4" t="str">
        <f>IFERROR(__xludf.DUMMYFUNCTION("GOOGLETRANSLATE(A179, ""en"", ""zh-CN"")"),"背景")</f>
        <v>背景</v>
      </c>
    </row>
    <row r="180" ht="15.75" customHeight="1">
      <c r="A180" s="3" t="s">
        <v>196</v>
      </c>
      <c r="B180" s="3" t="s">
        <v>8</v>
      </c>
      <c r="C180" s="3" t="s">
        <v>9</v>
      </c>
      <c r="D180" s="4" t="str">
        <f>IFERROR(__xludf.DUMMYFUNCTION("GOOGLETRANSLATE(A180, ""en"", ""zh-CN"")"),"钟")</f>
        <v>钟</v>
      </c>
    </row>
    <row r="181" ht="15.75" customHeight="1">
      <c r="A181" s="3" t="s">
        <v>197</v>
      </c>
      <c r="B181" s="3" t="s">
        <v>12</v>
      </c>
      <c r="C181" s="3" t="s">
        <v>9</v>
      </c>
      <c r="D181" s="4" t="str">
        <f>IFERROR(__xludf.DUMMYFUNCTION("GOOGLETRANSLATE(A181, ""en"", ""zh-CN"")"),"打扰")</f>
        <v>打扰</v>
      </c>
    </row>
    <row r="182" ht="15.75" customHeight="1">
      <c r="A182" s="3" t="s">
        <v>198</v>
      </c>
      <c r="B182" s="3" t="s">
        <v>20</v>
      </c>
      <c r="C182" s="3" t="s">
        <v>9</v>
      </c>
      <c r="D182" s="4" t="str">
        <f>IFERROR(__xludf.DUMMYFUNCTION("GOOGLETRANSLATE(A182, ""en"", ""zh-CN"")"),"向后")</f>
        <v>向后</v>
      </c>
    </row>
    <row r="183" ht="15.75" customHeight="1">
      <c r="A183" s="3" t="s">
        <v>199</v>
      </c>
      <c r="B183" s="3" t="s">
        <v>12</v>
      </c>
      <c r="C183" s="3" t="s">
        <v>16</v>
      </c>
      <c r="D183" s="4" t="str">
        <f>IFERROR(__xludf.DUMMYFUNCTION("GOOGLETRANSLATE(A183, ""en"", ""zh-CN"")"),"属于")</f>
        <v>属于</v>
      </c>
    </row>
    <row r="184" ht="15.75" customHeight="1">
      <c r="A184" s="3" t="s">
        <v>200</v>
      </c>
      <c r="B184" s="3" t="s">
        <v>8</v>
      </c>
      <c r="C184" s="3" t="s">
        <v>6</v>
      </c>
      <c r="D184" s="4" t="str">
        <f>IFERROR(__xludf.DUMMYFUNCTION("GOOGLETRANSLATE(A184, ""en"", ""zh-CN"")"),"瓶子")</f>
        <v>瓶子</v>
      </c>
    </row>
    <row r="185" ht="15.75" customHeight="1">
      <c r="A185" s="3" t="s">
        <v>201</v>
      </c>
      <c r="B185" s="3" t="s">
        <v>8</v>
      </c>
      <c r="C185" s="3" t="s">
        <v>13</v>
      </c>
      <c r="D185" s="4" t="str">
        <f>IFERROR(__xludf.DUMMYFUNCTION("GOOGLETRANSLATE(A185, ""en"", ""zh-CN"")"),"细菌")</f>
        <v>细菌</v>
      </c>
    </row>
    <row r="186" ht="15.75" customHeight="1">
      <c r="A186" s="3" t="s">
        <v>202</v>
      </c>
      <c r="B186" s="3" t="s">
        <v>22</v>
      </c>
      <c r="C186" s="3" t="s">
        <v>6</v>
      </c>
      <c r="D186" s="4" t="str">
        <f>IFERROR(__xludf.DUMMYFUNCTION("GOOGLETRANSLATE(A186, ""en"", ""zh-CN"")"),"坏的")</f>
        <v>坏的</v>
      </c>
    </row>
    <row r="187" ht="15.75" customHeight="1">
      <c r="A187" s="3" t="s">
        <v>203</v>
      </c>
      <c r="B187" s="3" t="s">
        <v>8</v>
      </c>
      <c r="C187" s="3" t="s">
        <v>16</v>
      </c>
      <c r="D187" s="4" t="str">
        <f>IFERROR(__xludf.DUMMYFUNCTION("GOOGLETRANSLATE(A187, ""en"", ""zh-CN"")"),"腰带")</f>
        <v>腰带</v>
      </c>
    </row>
    <row r="188" ht="15.75" customHeight="1">
      <c r="A188" s="3" t="s">
        <v>204</v>
      </c>
      <c r="B188" s="3" t="s">
        <v>8</v>
      </c>
      <c r="C188" s="3" t="s">
        <v>16</v>
      </c>
      <c r="D188" s="4" t="str">
        <f>IFERROR(__xludf.DUMMYFUNCTION("GOOGLETRANSLATE(A188, ""en"", ""zh-CN"")"),"碗")</f>
        <v>碗</v>
      </c>
    </row>
    <row r="189" ht="15.75" customHeight="1">
      <c r="A189" s="3" t="s">
        <v>205</v>
      </c>
      <c r="B189" s="3" t="s">
        <v>20</v>
      </c>
      <c r="C189" s="3" t="s">
        <v>16</v>
      </c>
      <c r="D189" s="4" t="str">
        <f>IFERROR(__xludf.DUMMYFUNCTION("GOOGLETRANSLATE(A189, ""en"", ""zh-CN"")"),"糟糕")</f>
        <v>糟糕</v>
      </c>
    </row>
    <row r="190" ht="15.75" customHeight="1">
      <c r="A190" s="3" t="s">
        <v>206</v>
      </c>
      <c r="B190" s="3" t="s">
        <v>8</v>
      </c>
      <c r="C190" s="3" t="s">
        <v>6</v>
      </c>
      <c r="D190" s="4" t="str">
        <f>IFERROR(__xludf.DUMMYFUNCTION("GOOGLETRANSLATE(A190, ""en"", ""zh-CN"")"),"盒子")</f>
        <v>盒子</v>
      </c>
    </row>
    <row r="191" ht="15.75" customHeight="1">
      <c r="A191" s="3" t="s">
        <v>207</v>
      </c>
      <c r="B191" s="3" t="s">
        <v>8</v>
      </c>
      <c r="C191" s="3" t="s">
        <v>6</v>
      </c>
      <c r="D191" s="4" t="str">
        <f>IFERROR(__xludf.DUMMYFUNCTION("GOOGLETRANSLATE(A191, ""en"", ""zh-CN"")"),"包")</f>
        <v>包</v>
      </c>
    </row>
    <row r="192" ht="15.75" customHeight="1">
      <c r="A192" s="3" t="s">
        <v>208</v>
      </c>
      <c r="B192" s="3" t="s">
        <v>8</v>
      </c>
      <c r="C192" s="3" t="s">
        <v>6</v>
      </c>
      <c r="D192" s="4" t="str">
        <f>IFERROR(__xludf.DUMMYFUNCTION("GOOGLETRANSLATE(A192, ""en"", ""zh-CN"")"),"男生")</f>
        <v>男生</v>
      </c>
    </row>
    <row r="193" ht="15.75" customHeight="1">
      <c r="A193" s="3" t="s">
        <v>209</v>
      </c>
      <c r="B193" s="3" t="s">
        <v>12</v>
      </c>
      <c r="C193" s="3" t="s">
        <v>9</v>
      </c>
      <c r="D193" s="4" t="str">
        <f>IFERROR(__xludf.DUMMYFUNCTION("GOOGLETRANSLATE(A193, ""en"", ""zh-CN"")"),"烤")</f>
        <v>烤</v>
      </c>
    </row>
    <row r="194" ht="15.75" customHeight="1">
      <c r="A194" s="3" t="s">
        <v>210</v>
      </c>
      <c r="B194" s="3" t="s">
        <v>22</v>
      </c>
      <c r="C194" s="3" t="s">
        <v>13</v>
      </c>
      <c r="D194" s="4" t="str">
        <f>IFERROR(__xludf.DUMMYFUNCTION("GOOGLETRANSLATE(A194, ""en"", ""zh-CN"")"),"弯曲")</f>
        <v>弯曲</v>
      </c>
    </row>
    <row r="195" ht="15.75" customHeight="1">
      <c r="A195" s="3" t="s">
        <v>211</v>
      </c>
      <c r="B195" s="3" t="s">
        <v>8</v>
      </c>
      <c r="C195" s="3" t="s">
        <v>6</v>
      </c>
      <c r="D195" s="4" t="str">
        <f>IFERROR(__xludf.DUMMYFUNCTION("GOOGLETRANSLATE(A195, ""en"", ""zh-CN"")"),"男朋友")</f>
        <v>男朋友</v>
      </c>
    </row>
    <row r="196" ht="15.75" customHeight="1">
      <c r="A196" s="3" t="s">
        <v>212</v>
      </c>
      <c r="B196" s="3" t="s">
        <v>8</v>
      </c>
      <c r="C196" s="3" t="s">
        <v>16</v>
      </c>
      <c r="D196" s="4" t="str">
        <f>IFERROR(__xludf.DUMMYFUNCTION("GOOGLETRANSLATE(A196, ""en"", ""zh-CN"")"),"脑")</f>
        <v>脑</v>
      </c>
    </row>
    <row r="197" ht="15.75" customHeight="1">
      <c r="A197" s="3" t="s">
        <v>213</v>
      </c>
      <c r="B197" s="3" t="s">
        <v>8</v>
      </c>
      <c r="C197" s="3" t="s">
        <v>6</v>
      </c>
      <c r="D197" s="4" t="str">
        <f>IFERROR(__xludf.DUMMYFUNCTION("GOOGLETRANSLATE(A197, ""en"", ""zh-CN"")"),"球")</f>
        <v>球</v>
      </c>
    </row>
    <row r="198" ht="15.75" customHeight="1">
      <c r="A198" s="3" t="s">
        <v>214</v>
      </c>
      <c r="B198" s="3" t="s">
        <v>8</v>
      </c>
      <c r="C198" s="3" t="s">
        <v>9</v>
      </c>
      <c r="D198" s="4" t="str">
        <f>IFERROR(__xludf.DUMMYFUNCTION("GOOGLETRANSLATE(A198, ""en"", ""zh-CN"")"),"分支")</f>
        <v>分支</v>
      </c>
    </row>
    <row r="199" ht="15.75" customHeight="1">
      <c r="A199" s="3" t="s">
        <v>215</v>
      </c>
      <c r="B199" s="3" t="s">
        <v>8</v>
      </c>
      <c r="C199" s="3" t="s">
        <v>6</v>
      </c>
      <c r="D199" s="4" t="str">
        <f>IFERROR(__xludf.DUMMYFUNCTION("GOOGLETRANSLATE(A199, ""en"", ""zh-CN"")"),"香蕉")</f>
        <v>香蕉</v>
      </c>
    </row>
    <row r="200" ht="15.75" customHeight="1">
      <c r="A200" s="3" t="s">
        <v>216</v>
      </c>
      <c r="B200" s="3" t="s">
        <v>22</v>
      </c>
      <c r="C200" s="3" t="s">
        <v>9</v>
      </c>
      <c r="D200" s="4" t="str">
        <f>IFERROR(__xludf.DUMMYFUNCTION("GOOGLETRANSLATE(A200, ""en"", ""zh-CN"")"),"勇敢的")</f>
        <v>勇敢的</v>
      </c>
    </row>
    <row r="201" ht="15.75" customHeight="1">
      <c r="A201" s="3" t="s">
        <v>217</v>
      </c>
      <c r="B201" s="3" t="s">
        <v>8</v>
      </c>
      <c r="C201" s="3" t="s">
        <v>6</v>
      </c>
      <c r="D201" s="4" t="str">
        <f>IFERROR(__xludf.DUMMYFUNCTION("GOOGLETRANSLATE(A201, ""en"", ""zh-CN"")"),"乐队")</f>
        <v>乐队</v>
      </c>
    </row>
    <row r="202" ht="15.75" customHeight="1">
      <c r="A202" s="3" t="s">
        <v>218</v>
      </c>
      <c r="B202" s="3" t="s">
        <v>8</v>
      </c>
      <c r="C202" s="3" t="s">
        <v>6</v>
      </c>
      <c r="D202" s="4" t="str">
        <f>IFERROR(__xludf.DUMMYFUNCTION("GOOGLETRANSLATE(A202, ""en"", ""zh-CN"")"),"面包")</f>
        <v>面包</v>
      </c>
    </row>
    <row r="203" ht="15.75" customHeight="1">
      <c r="A203" s="3" t="s">
        <v>219</v>
      </c>
      <c r="B203" s="3" t="s">
        <v>8</v>
      </c>
      <c r="C203" s="3" t="s">
        <v>6</v>
      </c>
      <c r="D203" s="4" t="str">
        <f>IFERROR(__xludf.DUMMYFUNCTION("GOOGLETRANSLATE(A203, ""en"", ""zh-CN"")"),"自行车")</f>
        <v>自行车</v>
      </c>
    </row>
    <row r="204" ht="15.75" customHeight="1">
      <c r="A204" s="3" t="s">
        <v>220</v>
      </c>
      <c r="B204" s="3" t="s">
        <v>22</v>
      </c>
      <c r="C204" s="3" t="s">
        <v>6</v>
      </c>
      <c r="D204" s="4" t="str">
        <f>IFERROR(__xludf.DUMMYFUNCTION("GOOGLETRANSLATE(A204, ""en"", ""zh-CN"")"),"大的")</f>
        <v>大的</v>
      </c>
    </row>
    <row r="205" ht="15.75" customHeight="1">
      <c r="A205" s="3" t="s">
        <v>221</v>
      </c>
      <c r="B205" s="3" t="s">
        <v>8</v>
      </c>
      <c r="C205" s="3" t="s">
        <v>6</v>
      </c>
      <c r="D205" s="4" t="str">
        <f>IFERROR(__xludf.DUMMYFUNCTION("GOOGLETRANSLATE(A205, ""en"", ""zh-CN"")"),"早餐")</f>
        <v>早餐</v>
      </c>
    </row>
    <row r="206" ht="15.75" customHeight="1">
      <c r="A206" s="3" t="s">
        <v>222</v>
      </c>
      <c r="B206" s="3" t="s">
        <v>8</v>
      </c>
      <c r="C206" s="3" t="s">
        <v>6</v>
      </c>
      <c r="D206" s="4" t="str">
        <f>IFERROR(__xludf.DUMMYFUNCTION("GOOGLETRANSLATE(A206, ""en"", ""zh-CN"")"),"自行车")</f>
        <v>自行车</v>
      </c>
    </row>
    <row r="207" ht="15.75" customHeight="1">
      <c r="A207" s="3" t="s">
        <v>223</v>
      </c>
      <c r="B207" s="3" t="s">
        <v>8</v>
      </c>
      <c r="C207" s="3" t="s">
        <v>13</v>
      </c>
      <c r="D207" s="4" t="str">
        <f>IFERROR(__xludf.DUMMYFUNCTION("GOOGLETRANSLATE(A207, ""en"", ""zh-CN"")"),"胸部")</f>
        <v>胸部</v>
      </c>
    </row>
    <row r="208" ht="15.75" customHeight="1">
      <c r="A208" s="3" t="s">
        <v>224</v>
      </c>
      <c r="B208" s="3" t="s">
        <v>8</v>
      </c>
      <c r="C208" s="3" t="s">
        <v>13</v>
      </c>
      <c r="D208" s="4" t="str">
        <f>IFERROR(__xludf.DUMMYFUNCTION("GOOGLETRANSLATE(A208, ""en"", ""zh-CN"")"),"障碍")</f>
        <v>障碍</v>
      </c>
    </row>
    <row r="209" ht="15.75" customHeight="1">
      <c r="A209" s="3" t="s">
        <v>225</v>
      </c>
      <c r="B209" s="3" t="s">
        <v>8</v>
      </c>
      <c r="C209" s="3" t="s">
        <v>9</v>
      </c>
      <c r="D209" s="4" t="str">
        <f>IFERROR(__xludf.DUMMYFUNCTION("GOOGLETRANSLATE(A209, ""en"", ""zh-CN"")"),"呼吸")</f>
        <v>呼吸</v>
      </c>
    </row>
    <row r="210" ht="15.75" customHeight="1">
      <c r="A210" s="3" t="s">
        <v>226</v>
      </c>
      <c r="B210" s="3" t="s">
        <v>227</v>
      </c>
      <c r="C210" s="3" t="s">
        <v>16</v>
      </c>
      <c r="D210" s="4" t="str">
        <f>IFERROR(__xludf.DUMMYFUNCTION("GOOGLETRANSLATE(A210, ""en"", ""zh-CN"")"),"十亿")</f>
        <v>十亿</v>
      </c>
    </row>
    <row r="211" ht="15.75" customHeight="1">
      <c r="A211" s="3" t="s">
        <v>228</v>
      </c>
      <c r="B211" s="3" t="s">
        <v>12</v>
      </c>
      <c r="C211" s="3" t="s">
        <v>9</v>
      </c>
      <c r="D211" s="4" t="str">
        <f>IFERROR(__xludf.DUMMYFUNCTION("GOOGLETRANSLATE(A211, ""en"", ""zh-CN"")"),"呼吸")</f>
        <v>呼吸</v>
      </c>
    </row>
    <row r="212" ht="15.75" customHeight="1">
      <c r="A212" s="3" t="s">
        <v>229</v>
      </c>
      <c r="B212" s="3" t="s">
        <v>8</v>
      </c>
      <c r="C212" s="3" t="s">
        <v>16</v>
      </c>
      <c r="D212" s="4" t="str">
        <f>IFERROR(__xludf.DUMMYFUNCTION("GOOGLETRANSLATE(A212, ""en"", ""zh-CN"")"),"棒球")</f>
        <v>棒球</v>
      </c>
    </row>
    <row r="213" ht="15.75" customHeight="1">
      <c r="A213" s="3" t="s">
        <v>230</v>
      </c>
      <c r="B213" s="3" t="s">
        <v>8</v>
      </c>
      <c r="C213" s="3" t="s">
        <v>16</v>
      </c>
      <c r="D213" s="4" t="str">
        <f>IFERROR(__xludf.DUMMYFUNCTION("GOOGLETRANSLATE(A213, ""en"", ""zh-CN"")"),"垃圾桶")</f>
        <v>垃圾桶</v>
      </c>
    </row>
    <row r="214" ht="15.75" customHeight="1">
      <c r="A214" s="3" t="s">
        <v>231</v>
      </c>
      <c r="B214" s="3" t="s">
        <v>8</v>
      </c>
      <c r="C214" s="3" t="s">
        <v>9</v>
      </c>
      <c r="D214" s="4" t="str">
        <f>IFERROR(__xludf.DUMMYFUNCTION("GOOGLETRANSLATE(A214, ""en"", ""zh-CN"")"),"呼吸")</f>
        <v>呼吸</v>
      </c>
    </row>
    <row r="215" ht="15.75" customHeight="1">
      <c r="A215" s="3" t="s">
        <v>232</v>
      </c>
      <c r="B215" s="3" t="s">
        <v>22</v>
      </c>
      <c r="C215" s="3" t="s">
        <v>16</v>
      </c>
      <c r="D215" s="4" t="str">
        <f>IFERROR(__xludf.DUMMYFUNCTION("GOOGLETRANSLATE(A215, ""en"", ""zh-CN"")"),"基于")</f>
        <v>基于</v>
      </c>
    </row>
    <row r="216" ht="15.75" customHeight="1">
      <c r="A216" s="3" t="s">
        <v>233</v>
      </c>
      <c r="B216" s="3" t="s">
        <v>8</v>
      </c>
      <c r="C216" s="3" t="s">
        <v>16</v>
      </c>
      <c r="D216" s="4" t="str">
        <f>IFERROR(__xludf.DUMMYFUNCTION("GOOGLETRANSLATE(A216, ""en"", ""zh-CN"")"),"生物学")</f>
        <v>生物学</v>
      </c>
    </row>
    <row r="217" ht="15.75" customHeight="1">
      <c r="A217" s="3" t="s">
        <v>234</v>
      </c>
      <c r="B217" s="3" t="s">
        <v>8</v>
      </c>
      <c r="C217" s="3" t="s">
        <v>9</v>
      </c>
      <c r="D217" s="4" t="str">
        <f>IFERROR(__xludf.DUMMYFUNCTION("GOOGLETRANSLATE(A217, ""en"", ""zh-CN"")"),"新娘")</f>
        <v>新娘</v>
      </c>
    </row>
    <row r="218" ht="15.75" customHeight="1">
      <c r="A218" s="3" t="s">
        <v>235</v>
      </c>
      <c r="B218" s="3" t="s">
        <v>22</v>
      </c>
      <c r="C218" s="3" t="s">
        <v>9</v>
      </c>
      <c r="D218" s="4" t="str">
        <f>IFERROR(__xludf.DUMMYFUNCTION("GOOGLETRANSLATE(A218, ""en"", ""zh-CN"")"),"基本的")</f>
        <v>基本的</v>
      </c>
    </row>
    <row r="219" ht="15.75" customHeight="1">
      <c r="A219" s="3" t="s">
        <v>236</v>
      </c>
      <c r="B219" s="3" t="s">
        <v>8</v>
      </c>
      <c r="C219" s="3" t="s">
        <v>6</v>
      </c>
      <c r="D219" s="4" t="str">
        <f>IFERROR(__xludf.DUMMYFUNCTION("GOOGLETRANSLATE(A219, ""en"", ""zh-CN"")"),"鸟")</f>
        <v>鸟</v>
      </c>
    </row>
    <row r="220" ht="15.75" customHeight="1">
      <c r="A220" s="3" t="s">
        <v>237</v>
      </c>
      <c r="B220" s="3" t="s">
        <v>8</v>
      </c>
      <c r="C220" s="3" t="s">
        <v>16</v>
      </c>
      <c r="D220" s="4" t="str">
        <f>IFERROR(__xludf.DUMMYFUNCTION("GOOGLETRANSLATE(A220, ""en"", ""zh-CN"")"),"桥")</f>
        <v>桥</v>
      </c>
    </row>
    <row r="221" ht="15.75" customHeight="1">
      <c r="A221" s="3" t="s">
        <v>238</v>
      </c>
      <c r="B221" s="3" t="s">
        <v>20</v>
      </c>
      <c r="C221" s="3" t="s">
        <v>13</v>
      </c>
      <c r="D221" s="4" t="str">
        <f>IFERROR(__xludf.DUMMYFUNCTION("GOOGLETRANSLATE(A221, ""en"", ""zh-CN"")"),"基本上")</f>
        <v>基本上</v>
      </c>
    </row>
    <row r="222" ht="15.75" customHeight="1">
      <c r="A222" s="3" t="s">
        <v>239</v>
      </c>
      <c r="B222" s="3" t="s">
        <v>8</v>
      </c>
      <c r="C222" s="3" t="s">
        <v>16</v>
      </c>
      <c r="D222" s="4" t="str">
        <f>IFERROR(__xludf.DUMMYFUNCTION("GOOGLETRANSLATE(A222, ""en"", ""zh-CN"")"),"出生")</f>
        <v>出生</v>
      </c>
    </row>
    <row r="223" ht="15.75" customHeight="1">
      <c r="A223" s="3" t="s">
        <v>240</v>
      </c>
      <c r="B223" s="3" t="s">
        <v>22</v>
      </c>
      <c r="C223" s="3" t="s">
        <v>13</v>
      </c>
      <c r="D223" s="4" t="str">
        <f>IFERROR(__xludf.DUMMYFUNCTION("GOOGLETRANSLATE(A223, ""en"", ""zh-CN"")"),"简短的")</f>
        <v>简短的</v>
      </c>
    </row>
    <row r="224" ht="15.75" customHeight="1">
      <c r="A224" s="3" t="s">
        <v>241</v>
      </c>
      <c r="B224" s="3" t="s">
        <v>8</v>
      </c>
      <c r="C224" s="3" t="s">
        <v>9</v>
      </c>
      <c r="D224" s="4" t="str">
        <f>IFERROR(__xludf.DUMMYFUNCTION("GOOGLETRANSLATE(A224, ""en"", ""zh-CN"")"),"基础")</f>
        <v>基础</v>
      </c>
    </row>
    <row r="225" ht="15.75" customHeight="1">
      <c r="A225" s="3" t="s">
        <v>242</v>
      </c>
      <c r="B225" s="3" t="s">
        <v>8</v>
      </c>
      <c r="C225" s="3" t="s">
        <v>6</v>
      </c>
      <c r="D225" s="4" t="str">
        <f>IFERROR(__xludf.DUMMYFUNCTION("GOOGLETRANSLATE(A225, ""en"", ""zh-CN"")"),"生日")</f>
        <v>生日</v>
      </c>
    </row>
    <row r="226" ht="15.75" customHeight="1">
      <c r="A226" s="3" t="s">
        <v>243</v>
      </c>
      <c r="B226" s="3" t="s">
        <v>22</v>
      </c>
      <c r="C226" s="3" t="s">
        <v>16</v>
      </c>
      <c r="D226" s="4" t="str">
        <f>IFERROR(__xludf.DUMMYFUNCTION("GOOGLETRANSLATE(A226, ""en"", ""zh-CN"")"),"明亮的")</f>
        <v>明亮的</v>
      </c>
    </row>
    <row r="227" ht="15.75" customHeight="1">
      <c r="A227" s="3" t="s">
        <v>244</v>
      </c>
      <c r="B227" s="3" t="s">
        <v>8</v>
      </c>
      <c r="C227" s="3" t="s">
        <v>16</v>
      </c>
      <c r="D227" s="4" t="str">
        <f>IFERROR(__xludf.DUMMYFUNCTION("GOOGLETRANSLATE(A227, ""en"", ""zh-CN"")"),"篮球")</f>
        <v>篮球</v>
      </c>
    </row>
    <row r="228" ht="15.75" customHeight="1">
      <c r="A228" s="3" t="s">
        <v>245</v>
      </c>
      <c r="B228" s="3" t="s">
        <v>8</v>
      </c>
      <c r="C228" s="3" t="s">
        <v>16</v>
      </c>
      <c r="D228" s="4" t="str">
        <f>IFERROR(__xludf.DUMMYFUNCTION("GOOGLETRANSLATE(A228, ""en"", ""zh-CN"")"),"饼干")</f>
        <v>饼干</v>
      </c>
    </row>
    <row r="229" ht="15.75" customHeight="1">
      <c r="A229" s="3" t="s">
        <v>246</v>
      </c>
      <c r="B229" s="3" t="s">
        <v>22</v>
      </c>
      <c r="C229" s="3" t="s">
        <v>16</v>
      </c>
      <c r="D229" s="4" t="str">
        <f>IFERROR(__xludf.DUMMYFUNCTION("GOOGLETRANSLATE(A229, ""en"", ""zh-CN"")"),"杰出的")</f>
        <v>杰出的</v>
      </c>
    </row>
    <row r="230" ht="15.75" customHeight="1">
      <c r="A230" s="3" t="s">
        <v>247</v>
      </c>
      <c r="B230" s="3" t="s">
        <v>8</v>
      </c>
      <c r="C230" s="3" t="s">
        <v>6</v>
      </c>
      <c r="D230" s="4" t="str">
        <f>IFERROR(__xludf.DUMMYFUNCTION("GOOGLETRANSLATE(A230, ""en"", ""zh-CN"")"),"洗澡")</f>
        <v>洗澡</v>
      </c>
    </row>
    <row r="231" ht="15.75" customHeight="1">
      <c r="A231" s="3" t="s">
        <v>248</v>
      </c>
      <c r="B231" s="3" t="s">
        <v>8</v>
      </c>
      <c r="C231" s="3" t="s">
        <v>16</v>
      </c>
      <c r="D231" s="4" t="str">
        <f>IFERROR(__xludf.DUMMYFUNCTION("GOOGLETRANSLATE(A231, ""en"", ""zh-CN"")"),"少量")</f>
        <v>少量</v>
      </c>
    </row>
    <row r="232" ht="15.75" customHeight="1">
      <c r="A232" s="3" t="s">
        <v>249</v>
      </c>
      <c r="B232" s="3" t="s">
        <v>12</v>
      </c>
      <c r="C232" s="3" t="s">
        <v>6</v>
      </c>
      <c r="D232" s="4" t="str">
        <f>IFERROR(__xludf.DUMMYFUNCTION("GOOGLETRANSLATE(A232, ""en"", ""zh-CN"")"),"带来")</f>
        <v>带来</v>
      </c>
    </row>
    <row r="233" ht="15.75" customHeight="1">
      <c r="A233" s="3" t="s">
        <v>250</v>
      </c>
      <c r="B233" s="3" t="s">
        <v>8</v>
      </c>
      <c r="C233" s="3" t="s">
        <v>6</v>
      </c>
      <c r="D233" s="4" t="str">
        <f>IFERROR(__xludf.DUMMYFUNCTION("GOOGLETRANSLATE(A233, ""en"", ""zh-CN"")"),"浴室")</f>
        <v>浴室</v>
      </c>
    </row>
    <row r="234" ht="15.75" customHeight="1">
      <c r="A234" s="3" t="s">
        <v>251</v>
      </c>
      <c r="B234" s="3" t="s">
        <v>22</v>
      </c>
      <c r="C234" s="3" t="s">
        <v>13</v>
      </c>
      <c r="D234" s="4" t="str">
        <f>IFERROR(__xludf.DUMMYFUNCTION("GOOGLETRANSLATE(A234, ""en"", ""zh-CN"")"),"广阔")</f>
        <v>广阔</v>
      </c>
    </row>
    <row r="235" ht="15.75" customHeight="1">
      <c r="A235" s="3" t="s">
        <v>252</v>
      </c>
      <c r="B235" s="3" t="s">
        <v>8</v>
      </c>
      <c r="C235" s="3" t="s">
        <v>9</v>
      </c>
      <c r="D235" s="4" t="str">
        <f>IFERROR(__xludf.DUMMYFUNCTION("GOOGLETRANSLATE(A235, ""en"", ""zh-CN"")"),"电池")</f>
        <v>电池</v>
      </c>
    </row>
    <row r="236" ht="15.75" customHeight="1">
      <c r="A236" s="3" t="s">
        <v>253</v>
      </c>
      <c r="B236" s="3" t="s">
        <v>22</v>
      </c>
      <c r="C236" s="3" t="s">
        <v>13</v>
      </c>
      <c r="D236" s="4" t="str">
        <f>IFERROR(__xludf.DUMMYFUNCTION("GOOGLETRANSLATE(A236, ""en"", ""zh-CN"")"),"苦的")</f>
        <v>苦的</v>
      </c>
    </row>
    <row r="237" ht="15.75" customHeight="1">
      <c r="A237" s="3" t="s">
        <v>254</v>
      </c>
      <c r="B237" s="3" t="s">
        <v>22</v>
      </c>
      <c r="C237" s="3" t="s">
        <v>16</v>
      </c>
      <c r="D237" s="4" t="str">
        <f>IFERROR(__xludf.DUMMYFUNCTION("GOOGLETRANSLATE(A237, ""en"", ""zh-CN"")"),"破碎的")</f>
        <v>破碎的</v>
      </c>
    </row>
    <row r="238" ht="15.75" customHeight="1">
      <c r="A238" s="3" t="s">
        <v>255</v>
      </c>
      <c r="B238" s="3" t="s">
        <v>8</v>
      </c>
      <c r="C238" s="3" t="s">
        <v>6</v>
      </c>
      <c r="D238" s="4" t="str">
        <f>IFERROR(__xludf.DUMMYFUNCTION("GOOGLETRANSLATE(A238, ""en"", ""zh-CN"")"),"兄弟")</f>
        <v>兄弟</v>
      </c>
    </row>
    <row r="239" ht="15.75" customHeight="1">
      <c r="A239" s="3" t="s">
        <v>256</v>
      </c>
      <c r="B239" s="3" t="s">
        <v>8</v>
      </c>
      <c r="C239" s="3" t="s">
        <v>6</v>
      </c>
      <c r="D239" s="4" t="str">
        <f>IFERROR(__xludf.DUMMYFUNCTION("GOOGLETRANSLATE(A239, ""en"", ""zh-CN"")"),"海滩")</f>
        <v>海滩</v>
      </c>
    </row>
    <row r="240" ht="15.75" customHeight="1">
      <c r="A240" s="3" t="s">
        <v>257</v>
      </c>
      <c r="B240" s="3" t="s">
        <v>8</v>
      </c>
      <c r="C240" s="3" t="s">
        <v>16</v>
      </c>
      <c r="D240" s="4" t="str">
        <f>IFERROR(__xludf.DUMMYFUNCTION("GOOGLETRANSLATE(A240, ""en"", ""zh-CN"")"),"豆")</f>
        <v>豆</v>
      </c>
    </row>
    <row r="241" ht="15.75" customHeight="1">
      <c r="A241" s="3" t="s">
        <v>258</v>
      </c>
      <c r="B241" s="3" t="s">
        <v>22</v>
      </c>
      <c r="C241" s="3" t="s">
        <v>13</v>
      </c>
      <c r="D241" s="4" t="str">
        <f>IFERROR(__xludf.DUMMYFUNCTION("GOOGLETRANSLATE(A241, ""en"", ""zh-CN"")"),"瞎的")</f>
        <v>瞎的</v>
      </c>
    </row>
    <row r="242" ht="15.75" customHeight="1">
      <c r="A242" s="3" t="s">
        <v>259</v>
      </c>
      <c r="B242" s="3" t="s">
        <v>8</v>
      </c>
      <c r="C242" s="3" t="s">
        <v>9</v>
      </c>
      <c r="D242" s="4" t="str">
        <f>IFERROR(__xludf.DUMMYFUNCTION("GOOGLETRANSLATE(A242, ""en"", ""zh-CN"")"),"气泡")</f>
        <v>气泡</v>
      </c>
    </row>
    <row r="243" ht="15.75" customHeight="1">
      <c r="A243" s="3" t="s">
        <v>260</v>
      </c>
      <c r="B243" s="3" t="s">
        <v>8</v>
      </c>
      <c r="C243" s="3" t="s">
        <v>6</v>
      </c>
      <c r="D243" s="4" t="str">
        <f>IFERROR(__xludf.DUMMYFUNCTION("GOOGLETRANSLATE(A243, ""en"", ""zh-CN"")"),"博客")</f>
        <v>博客</v>
      </c>
    </row>
    <row r="244" ht="15.75" customHeight="1">
      <c r="A244" s="3" t="s">
        <v>261</v>
      </c>
      <c r="B244" s="3" t="s">
        <v>8</v>
      </c>
      <c r="C244" s="3" t="s">
        <v>13</v>
      </c>
      <c r="D244" s="4" t="str">
        <f>IFERROR(__xludf.DUMMYFUNCTION("GOOGLETRANSLATE(A244, ""en"", ""zh-CN"")"),"预算")</f>
        <v>预算</v>
      </c>
    </row>
    <row r="245" ht="15.75" customHeight="1">
      <c r="A245" s="3" t="s">
        <v>262</v>
      </c>
      <c r="B245" s="3" t="s">
        <v>22</v>
      </c>
      <c r="C245" s="3" t="s">
        <v>6</v>
      </c>
      <c r="D245" s="4" t="str">
        <f>IFERROR(__xludf.DUMMYFUNCTION("GOOGLETRANSLATE(A245, ""en"", ""zh-CN"")"),"金发")</f>
        <v>金发</v>
      </c>
    </row>
    <row r="246" ht="15.75" customHeight="1">
      <c r="A246" s="3" t="s">
        <v>263</v>
      </c>
      <c r="B246" s="3" t="s">
        <v>12</v>
      </c>
      <c r="C246" s="3" t="s">
        <v>6</v>
      </c>
      <c r="D246" s="4" t="str">
        <f>IFERROR(__xludf.DUMMYFUNCTION("GOOGLETRANSLATE(A246, ""en"", ""zh-CN"")"),"建造")</f>
        <v>建造</v>
      </c>
    </row>
    <row r="247" ht="15.75" customHeight="1">
      <c r="A247" s="3" t="s">
        <v>264</v>
      </c>
      <c r="B247" s="3" t="s">
        <v>22</v>
      </c>
      <c r="C247" s="3" t="s">
        <v>6</v>
      </c>
      <c r="D247" s="4" t="str">
        <f>IFERROR(__xludf.DUMMYFUNCTION("GOOGLETRANSLATE(A247, ""en"", ""zh-CN"")"),"美丽的")</f>
        <v>美丽的</v>
      </c>
    </row>
    <row r="248" ht="15.75" customHeight="1">
      <c r="A248" s="3" t="s">
        <v>265</v>
      </c>
      <c r="B248" s="3" t="s">
        <v>8</v>
      </c>
      <c r="C248" s="3" t="s">
        <v>16</v>
      </c>
      <c r="D248" s="4" t="str">
        <f>IFERROR(__xludf.DUMMYFUNCTION("GOOGLETRANSLATE(A248, ""en"", ""zh-CN"")"),"血")</f>
        <v>血</v>
      </c>
    </row>
    <row r="249" ht="15.75" customHeight="1">
      <c r="A249" s="3" t="s">
        <v>266</v>
      </c>
      <c r="B249" s="3" t="s">
        <v>8</v>
      </c>
      <c r="C249" s="3" t="s">
        <v>6</v>
      </c>
      <c r="D249" s="4" t="str">
        <f>IFERROR(__xludf.DUMMYFUNCTION("GOOGLETRANSLATE(A249, ""en"", ""zh-CN"")"),"建筑")</f>
        <v>建筑</v>
      </c>
    </row>
    <row r="250" ht="15.75" customHeight="1">
      <c r="A250" s="3" t="s">
        <v>267</v>
      </c>
      <c r="B250" s="3" t="s">
        <v>8</v>
      </c>
      <c r="C250" s="3" t="s">
        <v>9</v>
      </c>
      <c r="D250" s="4" t="str">
        <f>IFERROR(__xludf.DUMMYFUNCTION("GOOGLETRANSLATE(A250, ""en"", ""zh-CN"")"),"美丽")</f>
        <v>美丽</v>
      </c>
    </row>
    <row r="251" ht="15.75" customHeight="1">
      <c r="A251" s="3" t="s">
        <v>268</v>
      </c>
      <c r="B251" s="3" t="s">
        <v>12</v>
      </c>
      <c r="C251" s="3" t="s">
        <v>16</v>
      </c>
      <c r="D251" s="4" t="str">
        <f>IFERROR(__xludf.DUMMYFUNCTION("GOOGLETRANSLATE(A251, ""en"", ""zh-CN"")"),"吹")</f>
        <v>吹</v>
      </c>
    </row>
    <row r="252" ht="15.75" customHeight="1">
      <c r="A252" s="3" t="s">
        <v>269</v>
      </c>
      <c r="B252" s="3" t="s">
        <v>8</v>
      </c>
      <c r="C252" s="3" t="s">
        <v>13</v>
      </c>
      <c r="D252" s="4" t="str">
        <f>IFERROR(__xludf.DUMMYFUNCTION("GOOGLETRANSLATE(A252, ""en"", ""zh-CN"")"),"子弹")</f>
        <v>子弹</v>
      </c>
    </row>
    <row r="253" ht="15.75" customHeight="1">
      <c r="A253" s="3" t="s">
        <v>270</v>
      </c>
      <c r="B253" s="3" t="s">
        <v>72</v>
      </c>
      <c r="C253" s="3" t="s">
        <v>6</v>
      </c>
      <c r="D253" s="4" t="str">
        <f>IFERROR(__xludf.DUMMYFUNCTION("GOOGLETRANSLATE(A253, ""en"", ""zh-CN"")"),"因为")</f>
        <v>因为</v>
      </c>
    </row>
    <row r="254" ht="15.75" customHeight="1">
      <c r="A254" s="3" t="s">
        <v>271</v>
      </c>
      <c r="B254" s="3" t="s">
        <v>8</v>
      </c>
      <c r="C254" s="3" t="s">
        <v>13</v>
      </c>
      <c r="D254" s="4" t="str">
        <f>IFERROR(__xludf.DUMMYFUNCTION("GOOGLETRANSLATE(A254, ""en"", ""zh-CN"")"),"束")</f>
        <v>束</v>
      </c>
    </row>
    <row r="255" ht="15.75" customHeight="1">
      <c r="A255" s="3" t="s">
        <v>272</v>
      </c>
      <c r="B255" s="3" t="s">
        <v>12</v>
      </c>
      <c r="C255" s="3" t="s">
        <v>6</v>
      </c>
      <c r="D255" s="4" t="str">
        <f>IFERROR(__xludf.DUMMYFUNCTION("GOOGLETRANSLATE(A255, ""en"", ""zh-CN"")"),"变得")</f>
        <v>变得</v>
      </c>
    </row>
    <row r="256" ht="15.75" customHeight="1">
      <c r="A256" s="3" t="s">
        <v>273</v>
      </c>
      <c r="B256" s="3" t="s">
        <v>8</v>
      </c>
      <c r="C256" s="3" t="s">
        <v>6</v>
      </c>
      <c r="D256" s="4" t="str">
        <f>IFERROR(__xludf.DUMMYFUNCTION("GOOGLETRANSLATE(A256, ""en"", ""zh-CN"")"),"床")</f>
        <v>床</v>
      </c>
    </row>
    <row r="257" ht="15.75" customHeight="1">
      <c r="A257" s="3" t="s">
        <v>274</v>
      </c>
      <c r="B257" s="3" t="s">
        <v>8</v>
      </c>
      <c r="C257" s="3" t="s">
        <v>6</v>
      </c>
      <c r="D257" s="4" t="str">
        <f>IFERROR(__xludf.DUMMYFUNCTION("GOOGLETRANSLATE(A257, ""en"", ""zh-CN"")"),"船")</f>
        <v>船</v>
      </c>
    </row>
    <row r="258" ht="15.75" customHeight="1">
      <c r="A258" s="3" t="s">
        <v>275</v>
      </c>
      <c r="B258" s="3" t="s">
        <v>12</v>
      </c>
      <c r="C258" s="3" t="s">
        <v>9</v>
      </c>
      <c r="D258" s="4" t="str">
        <f>IFERROR(__xludf.DUMMYFUNCTION("GOOGLETRANSLATE(A258, ""en"", ""zh-CN"")"),"埋葬")</f>
        <v>埋葬</v>
      </c>
    </row>
    <row r="259" ht="15.75" customHeight="1">
      <c r="A259" s="3" t="s">
        <v>276</v>
      </c>
      <c r="B259" s="3" t="s">
        <v>8</v>
      </c>
      <c r="C259" s="3" t="s">
        <v>6</v>
      </c>
      <c r="D259" s="4" t="str">
        <f>IFERROR(__xludf.DUMMYFUNCTION("GOOGLETRANSLATE(A259, ""en"", ""zh-CN"")"),"卧室")</f>
        <v>卧室</v>
      </c>
    </row>
    <row r="260" ht="15.75" customHeight="1">
      <c r="A260" s="3" t="s">
        <v>277</v>
      </c>
      <c r="B260" s="3" t="s">
        <v>8</v>
      </c>
      <c r="C260" s="3" t="s">
        <v>6</v>
      </c>
      <c r="D260" s="4" t="str">
        <f>IFERROR(__xludf.DUMMYFUNCTION("GOOGLETRANSLATE(A260, ""en"", ""zh-CN"")"),"身体")</f>
        <v>身体</v>
      </c>
    </row>
    <row r="261" ht="15.75" customHeight="1">
      <c r="A261" s="3" t="s">
        <v>278</v>
      </c>
      <c r="B261" s="3" t="s">
        <v>8</v>
      </c>
      <c r="C261" s="3" t="s">
        <v>6</v>
      </c>
      <c r="D261" s="4" t="str">
        <f>IFERROR(__xludf.DUMMYFUNCTION("GOOGLETRANSLATE(A261, ""en"", ""zh-CN"")"),"公共汽车")</f>
        <v>公共汽车</v>
      </c>
    </row>
    <row r="262" ht="15.75" customHeight="1">
      <c r="A262" s="3" t="s">
        <v>279</v>
      </c>
      <c r="B262" s="3" t="s">
        <v>8</v>
      </c>
      <c r="C262" s="3" t="s">
        <v>9</v>
      </c>
      <c r="D262" s="4" t="str">
        <f>IFERROR(__xludf.DUMMYFUNCTION("GOOGLETRANSLATE(A262, ""en"", ""zh-CN"")"),"蜜蜂")</f>
        <v>蜜蜂</v>
      </c>
    </row>
    <row r="263" ht="15.75" customHeight="1">
      <c r="A263" s="3" t="s">
        <v>280</v>
      </c>
      <c r="B263" s="3" t="s">
        <v>12</v>
      </c>
      <c r="C263" s="3" t="s">
        <v>16</v>
      </c>
      <c r="D263" s="4" t="str">
        <f>IFERROR(__xludf.DUMMYFUNCTION("GOOGLETRANSLATE(A263, ""en"", ""zh-CN"")"),"熬")</f>
        <v>熬</v>
      </c>
    </row>
    <row r="264" ht="15.75" customHeight="1">
      <c r="A264" s="3" t="s">
        <v>281</v>
      </c>
      <c r="B264" s="3" t="s">
        <v>8</v>
      </c>
      <c r="C264" s="3" t="s">
        <v>13</v>
      </c>
      <c r="D264" s="4" t="str">
        <f>IFERROR(__xludf.DUMMYFUNCTION("GOOGLETRANSLATE(A264, ""en"", ""zh-CN"")"),"衬套")</f>
        <v>衬套</v>
      </c>
    </row>
    <row r="265" ht="15.75" customHeight="1">
      <c r="A265" s="3" t="s">
        <v>282</v>
      </c>
      <c r="B265" s="3" t="s">
        <v>8</v>
      </c>
      <c r="C265" s="3" t="s">
        <v>16</v>
      </c>
      <c r="D265" s="4" t="str">
        <f>IFERROR(__xludf.DUMMYFUNCTION("GOOGLETRANSLATE(A265, ""en"", ""zh-CN"")"),"牛肉")</f>
        <v>牛肉</v>
      </c>
    </row>
    <row r="266" ht="15.75" customHeight="1">
      <c r="A266" s="3" t="s">
        <v>283</v>
      </c>
      <c r="B266" s="3" t="s">
        <v>8</v>
      </c>
      <c r="C266" s="3" t="s">
        <v>6</v>
      </c>
      <c r="D266" s="4" t="str">
        <f>IFERROR(__xludf.DUMMYFUNCTION("GOOGLETRANSLATE(A266, ""en"", ""zh-CN"")"),"商业")</f>
        <v>商业</v>
      </c>
    </row>
    <row r="267" ht="15.75" customHeight="1">
      <c r="A267" s="3" t="s">
        <v>284</v>
      </c>
      <c r="B267" s="3" t="s">
        <v>8</v>
      </c>
      <c r="C267" s="3" t="s">
        <v>6</v>
      </c>
      <c r="D267" s="4" t="str">
        <f>IFERROR(__xludf.DUMMYFUNCTION("GOOGLETRANSLATE(A267, ""en"", ""zh-CN"")"),"啤酒")</f>
        <v>啤酒</v>
      </c>
    </row>
    <row r="268" ht="15.75" customHeight="1">
      <c r="A268" s="3" t="s">
        <v>285</v>
      </c>
      <c r="B268" s="3" t="s">
        <v>8</v>
      </c>
      <c r="C268" s="3" t="s">
        <v>13</v>
      </c>
      <c r="D268" s="4" t="str">
        <f>IFERROR(__xludf.DUMMYFUNCTION("GOOGLETRANSLATE(A268, ""en"", ""zh-CN"")"),"纽带")</f>
        <v>纽带</v>
      </c>
    </row>
    <row r="269" ht="15.75" customHeight="1">
      <c r="A269" s="3" t="s">
        <v>286</v>
      </c>
      <c r="B269" s="3" t="s">
        <v>8</v>
      </c>
      <c r="C269" s="3" t="s">
        <v>16</v>
      </c>
      <c r="D269" s="4" t="str">
        <f>IFERROR(__xludf.DUMMYFUNCTION("GOOGLETRANSLATE(A269, ""en"", ""zh-CN"")"),"商人")</f>
        <v>商人</v>
      </c>
    </row>
    <row r="270" ht="15.75" customHeight="1">
      <c r="A270" s="3" t="s">
        <v>287</v>
      </c>
      <c r="B270" s="3" t="s">
        <v>8</v>
      </c>
      <c r="C270" s="3" t="s">
        <v>16</v>
      </c>
      <c r="D270" s="4" t="str">
        <f>IFERROR(__xludf.DUMMYFUNCTION("GOOGLETRANSLATE(A270, ""en"", ""zh-CN"")"),"骨")</f>
        <v>骨</v>
      </c>
    </row>
    <row r="271" ht="15.75" customHeight="1">
      <c r="A271" s="3" t="s">
        <v>288</v>
      </c>
      <c r="B271" s="3" t="s">
        <v>22</v>
      </c>
      <c r="C271" s="3" t="s">
        <v>6</v>
      </c>
      <c r="D271" s="4" t="str">
        <f>IFERROR(__xludf.DUMMYFUNCTION("GOOGLETRANSLATE(A271, ""en"", ""zh-CN"")"),"忙碌的")</f>
        <v>忙碌的</v>
      </c>
    </row>
    <row r="272" ht="15.75" customHeight="1">
      <c r="A272" s="3" t="s">
        <v>289</v>
      </c>
      <c r="B272" s="3" t="s">
        <v>12</v>
      </c>
      <c r="C272" s="3" t="s">
        <v>13</v>
      </c>
      <c r="D272" s="4" t="str">
        <f>IFERROR(__xludf.DUMMYFUNCTION("GOOGLETRANSLATE(A272, ""en"", ""zh-CN"")"),"求")</f>
        <v>求</v>
      </c>
    </row>
    <row r="273" ht="15.75" customHeight="1">
      <c r="A273" s="3" t="s">
        <v>290</v>
      </c>
      <c r="B273" s="3" t="s">
        <v>12</v>
      </c>
      <c r="C273" s="3" t="s">
        <v>6</v>
      </c>
      <c r="D273" s="4" t="str">
        <f>IFERROR(__xludf.DUMMYFUNCTION("GOOGLETRANSLATE(A273, ""en"", ""zh-CN"")"),"开始")</f>
        <v>开始</v>
      </c>
    </row>
    <row r="274" ht="15.75" customHeight="1">
      <c r="A274" s="3" t="s">
        <v>291</v>
      </c>
      <c r="B274" s="3" t="s">
        <v>8</v>
      </c>
      <c r="C274" s="3" t="s">
        <v>6</v>
      </c>
      <c r="D274" s="4" t="str">
        <f>IFERROR(__xludf.DUMMYFUNCTION("GOOGLETRANSLATE(A274, ""en"", ""zh-CN"")"),"引导")</f>
        <v>引导</v>
      </c>
    </row>
    <row r="275" ht="15.75" customHeight="1">
      <c r="A275" s="3" t="s">
        <v>292</v>
      </c>
      <c r="B275" s="3" t="s">
        <v>8</v>
      </c>
      <c r="C275" s="3" t="s">
        <v>6</v>
      </c>
      <c r="D275" s="4" t="str">
        <f>IFERROR(__xludf.DUMMYFUNCTION("GOOGLETRANSLATE(A275, ""en"", ""zh-CN"")"),"黄油")</f>
        <v>黄油</v>
      </c>
    </row>
    <row r="276" ht="15.75" customHeight="1">
      <c r="A276" s="3" t="s">
        <v>293</v>
      </c>
      <c r="B276" s="3" t="s">
        <v>8</v>
      </c>
      <c r="C276" s="3" t="s">
        <v>6</v>
      </c>
      <c r="D276" s="4" t="str">
        <f>IFERROR(__xludf.DUMMYFUNCTION("GOOGLETRANSLATE(A276, ""en"", ""zh-CN"")"),"开始")</f>
        <v>开始</v>
      </c>
    </row>
    <row r="277" ht="15.75" customHeight="1">
      <c r="A277" s="3" t="s">
        <v>294</v>
      </c>
      <c r="B277" s="3" t="s">
        <v>8</v>
      </c>
      <c r="C277" s="3" t="s">
        <v>16</v>
      </c>
      <c r="D277" s="4" t="str">
        <f>IFERROR(__xludf.DUMMYFUNCTION("GOOGLETRANSLATE(A277, ""en"", ""zh-CN"")"),"按钮")</f>
        <v>按钮</v>
      </c>
    </row>
    <row r="278" ht="15.75" customHeight="1">
      <c r="A278" s="3" t="s">
        <v>295</v>
      </c>
      <c r="B278" s="3" t="s">
        <v>12</v>
      </c>
      <c r="C278" s="3" t="s">
        <v>16</v>
      </c>
      <c r="D278" s="4" t="str">
        <f>IFERROR(__xludf.DUMMYFUNCTION("GOOGLETRANSLATE(A278, ""en"", ""zh-CN"")"),"表现")</f>
        <v>表现</v>
      </c>
    </row>
    <row r="279" ht="15.75" customHeight="1">
      <c r="A279" s="3" t="s">
        <v>296</v>
      </c>
      <c r="B279" s="3" t="s">
        <v>22</v>
      </c>
      <c r="C279" s="3" t="s">
        <v>6</v>
      </c>
      <c r="D279" s="4" t="str">
        <f>IFERROR(__xludf.DUMMYFUNCTION("GOOGLETRANSLATE(A279, ""en"", ""zh-CN"")"),"无聊的")</f>
        <v>无聊的</v>
      </c>
    </row>
    <row r="280" ht="15.75" customHeight="1">
      <c r="A280" s="3" t="s">
        <v>297</v>
      </c>
      <c r="B280" s="3" t="s">
        <v>12</v>
      </c>
      <c r="C280" s="3" t="s">
        <v>6</v>
      </c>
      <c r="D280" s="4" t="str">
        <f>IFERROR(__xludf.DUMMYFUNCTION("GOOGLETRANSLATE(A280, ""en"", ""zh-CN"")"),"买")</f>
        <v>买</v>
      </c>
    </row>
    <row r="281" ht="15.75" customHeight="1">
      <c r="A281" s="3" t="s">
        <v>298</v>
      </c>
      <c r="B281" s="3" t="s">
        <v>8</v>
      </c>
      <c r="C281" s="3" t="s">
        <v>16</v>
      </c>
      <c r="D281" s="4" t="str">
        <f>IFERROR(__xludf.DUMMYFUNCTION("GOOGLETRANSLATE(A281, ""en"", ""zh-CN"")"),"行为")</f>
        <v>行为</v>
      </c>
    </row>
    <row r="282" ht="15.75" customHeight="1">
      <c r="A282" s="3" t="s">
        <v>299</v>
      </c>
      <c r="B282" s="3" t="s">
        <v>22</v>
      </c>
      <c r="C282" s="3" t="s">
        <v>6</v>
      </c>
      <c r="D282" s="4" t="str">
        <f>IFERROR(__xludf.DUMMYFUNCTION("GOOGLETRANSLATE(A282, ""en"", ""zh-CN"")"),"无聊的")</f>
        <v>无聊的</v>
      </c>
    </row>
    <row r="283" ht="15.75" customHeight="1">
      <c r="A283" s="3" t="s">
        <v>300</v>
      </c>
      <c r="B283" s="3" t="s">
        <v>12</v>
      </c>
      <c r="C283" s="3" t="s">
        <v>6</v>
      </c>
      <c r="D283" s="4" t="str">
        <f>IFERROR(__xludf.DUMMYFUNCTION("GOOGLETRANSLATE(A283, ""en"", ""zh-CN"")"),"出生")</f>
        <v>出生</v>
      </c>
    </row>
    <row r="284" ht="15.75" customHeight="1">
      <c r="A284" s="3" t="s">
        <v>301</v>
      </c>
      <c r="B284" s="3" t="s">
        <v>15</v>
      </c>
      <c r="C284" s="3" t="s">
        <v>6</v>
      </c>
      <c r="D284" s="4" t="str">
        <f>IFERROR(__xludf.DUMMYFUNCTION("GOOGLETRANSLATE(A284, ""en"", ""zh-CN"")"),"再见")</f>
        <v>再见</v>
      </c>
    </row>
    <row r="285" ht="15.75" customHeight="1">
      <c r="A285" s="3" t="s">
        <v>302</v>
      </c>
      <c r="B285" s="3" t="s">
        <v>8</v>
      </c>
      <c r="C285" s="3" t="s">
        <v>13</v>
      </c>
      <c r="D285" s="4" t="str">
        <f>IFERROR(__xludf.DUMMYFUNCTION("GOOGLETRANSLATE(A285, ""en"", ""zh-CN"")"),"存在")</f>
        <v>存在</v>
      </c>
    </row>
    <row r="286" ht="15.75" customHeight="1">
      <c r="A286" s="3" t="s">
        <v>303</v>
      </c>
      <c r="B286" s="3" t="s">
        <v>12</v>
      </c>
      <c r="C286" s="3" t="s">
        <v>16</v>
      </c>
      <c r="D286" s="4" t="str">
        <f>IFERROR(__xludf.DUMMYFUNCTION("GOOGLETRANSLATE(A286, ""en"", ""zh-CN"")"),"借")</f>
        <v>借</v>
      </c>
    </row>
    <row r="287" ht="15.75" customHeight="1">
      <c r="A287" s="3" t="s">
        <v>304</v>
      </c>
      <c r="B287" s="3" t="s">
        <v>8</v>
      </c>
      <c r="C287" s="3" t="s">
        <v>13</v>
      </c>
      <c r="D287" s="4" t="str">
        <f>IFERROR(__xludf.DUMMYFUNCTION("GOOGLETRANSLATE(A287, ""en"", ""zh-CN"")"),"电缆")</f>
        <v>电缆</v>
      </c>
    </row>
    <row r="288" ht="15.75" customHeight="1">
      <c r="A288" s="3" t="s">
        <v>305</v>
      </c>
      <c r="B288" s="3" t="s">
        <v>12</v>
      </c>
      <c r="C288" s="3" t="s">
        <v>9</v>
      </c>
      <c r="D288" s="4" t="str">
        <f>IFERROR(__xludf.DUMMYFUNCTION("GOOGLETRANSLATE(A288, ""en"", ""zh-CN"")"),"组成")</f>
        <v>组成</v>
      </c>
    </row>
    <row r="289" ht="15.75" customHeight="1">
      <c r="A289" s="3" t="s">
        <v>306</v>
      </c>
      <c r="B289" s="3" t="s">
        <v>8</v>
      </c>
      <c r="C289" s="3" t="s">
        <v>6</v>
      </c>
      <c r="D289" s="4" t="str">
        <f>IFERROR(__xludf.DUMMYFUNCTION("GOOGLETRANSLATE(A289, ""en"", ""zh-CN"")"),"咖啡店")</f>
        <v>咖啡店</v>
      </c>
    </row>
    <row r="290" ht="15.75" customHeight="1">
      <c r="A290" s="3" t="s">
        <v>307</v>
      </c>
      <c r="B290" s="3" t="s">
        <v>22</v>
      </c>
      <c r="C290" s="3" t="s">
        <v>16</v>
      </c>
      <c r="D290" s="4" t="str">
        <f>IFERROR(__xludf.DUMMYFUNCTION("GOOGLETRANSLATE(A290, ""en"", ""zh-CN"")"),"古典")</f>
        <v>古典</v>
      </c>
    </row>
    <row r="291" ht="15.75" customHeight="1">
      <c r="A291" s="3" t="s">
        <v>308</v>
      </c>
      <c r="B291" s="3" t="s">
        <v>22</v>
      </c>
      <c r="C291" s="3" t="s">
        <v>13</v>
      </c>
      <c r="D291" s="4" t="str">
        <f>IFERROR(__xludf.DUMMYFUNCTION("GOOGLETRANSLATE(A291, ""en"", ""zh-CN"")"),"持续的")</f>
        <v>持续的</v>
      </c>
    </row>
    <row r="292" ht="15.75" customHeight="1">
      <c r="A292" s="3" t="s">
        <v>309</v>
      </c>
      <c r="B292" s="3" t="s">
        <v>8</v>
      </c>
      <c r="C292" s="3" t="s">
        <v>6</v>
      </c>
      <c r="D292" s="4" t="str">
        <f>IFERROR(__xludf.DUMMYFUNCTION("GOOGLETRANSLATE(A292, ""en"", ""zh-CN"")"),"蛋糕")</f>
        <v>蛋糕</v>
      </c>
    </row>
    <row r="293" ht="15.75" customHeight="1">
      <c r="A293" s="3" t="s">
        <v>310</v>
      </c>
      <c r="B293" s="3" t="s">
        <v>8</v>
      </c>
      <c r="C293" s="3" t="s">
        <v>6</v>
      </c>
      <c r="D293" s="4" t="str">
        <f>IFERROR(__xludf.DUMMYFUNCTION("GOOGLETRANSLATE(A293, ""en"", ""zh-CN"")"),"课堂")</f>
        <v>课堂</v>
      </c>
    </row>
    <row r="294" ht="15.75" customHeight="1">
      <c r="A294" s="3" t="s">
        <v>311</v>
      </c>
      <c r="B294" s="3" t="s">
        <v>22</v>
      </c>
      <c r="C294" s="3" t="s">
        <v>13</v>
      </c>
      <c r="D294" s="4" t="str">
        <f>IFERROR(__xludf.DUMMYFUNCTION("GOOGLETRANSLATE(A294, ""en"", ""zh-CN"")"),"持续的")</f>
        <v>持续的</v>
      </c>
    </row>
    <row r="295" ht="15.75" customHeight="1">
      <c r="A295" s="3" t="s">
        <v>312</v>
      </c>
      <c r="B295" s="3" t="s">
        <v>12</v>
      </c>
      <c r="C295" s="3" t="s">
        <v>13</v>
      </c>
      <c r="D295" s="4" t="str">
        <f>IFERROR(__xludf.DUMMYFUNCTION("GOOGLETRANSLATE(A295, ""en"", ""zh-CN"")"),"计算")</f>
        <v>计算</v>
      </c>
    </row>
    <row r="296" ht="15.75" customHeight="1">
      <c r="A296" s="3" t="s">
        <v>313</v>
      </c>
      <c r="B296" s="3" t="s">
        <v>8</v>
      </c>
      <c r="C296" s="3" t="s">
        <v>9</v>
      </c>
      <c r="D296" s="4" t="str">
        <f>IFERROR(__xludf.DUMMYFUNCTION("GOOGLETRANSLATE(A296, ""en"", ""zh-CN"")"),"条款")</f>
        <v>条款</v>
      </c>
    </row>
    <row r="297" ht="15.75" customHeight="1">
      <c r="A297" s="3" t="s">
        <v>314</v>
      </c>
      <c r="B297" s="3" t="s">
        <v>20</v>
      </c>
      <c r="C297" s="3" t="s">
        <v>13</v>
      </c>
      <c r="D297" s="4" t="str">
        <f>IFERROR(__xludf.DUMMYFUNCTION("GOOGLETRANSLATE(A297, ""en"", ""zh-CN"")"),"不断地")</f>
        <v>不断地</v>
      </c>
    </row>
    <row r="298" ht="15.75" customHeight="1">
      <c r="A298" s="3" t="s">
        <v>315</v>
      </c>
      <c r="B298" s="3" t="s">
        <v>12</v>
      </c>
      <c r="C298" s="3" t="s">
        <v>13</v>
      </c>
      <c r="D298" s="4" t="str">
        <f>IFERROR(__xludf.DUMMYFUNCTION("GOOGLETRANSLATE(A298, ""en"", ""zh-CN"")"),"构造")</f>
        <v>构造</v>
      </c>
    </row>
    <row r="299" ht="15.75" customHeight="1">
      <c r="A299" s="3" t="s">
        <v>316</v>
      </c>
      <c r="B299" s="3" t="s">
        <v>8</v>
      </c>
      <c r="C299" s="3" t="s">
        <v>13</v>
      </c>
      <c r="D299" s="4" t="str">
        <f>IFERROR(__xludf.DUMMYFUNCTION("GOOGLETRANSLATE(A299, ""en"", ""zh-CN"")"),"建造")</f>
        <v>建造</v>
      </c>
    </row>
    <row r="300" ht="15.75" customHeight="1">
      <c r="A300" s="3" t="s">
        <v>317</v>
      </c>
      <c r="B300" s="3" t="s">
        <v>8</v>
      </c>
      <c r="C300" s="3" t="s">
        <v>6</v>
      </c>
      <c r="D300" s="4" t="str">
        <f>IFERROR(__xludf.DUMMYFUNCTION("GOOGLETRANSLATE(A300, ""en"", ""zh-CN"")"),"相机")</f>
        <v>相机</v>
      </c>
    </row>
    <row r="301" ht="15.75" customHeight="1">
      <c r="A301" s="3" t="s">
        <v>318</v>
      </c>
      <c r="B301" s="3" t="s">
        <v>20</v>
      </c>
      <c r="C301" s="3" t="s">
        <v>16</v>
      </c>
      <c r="D301" s="4" t="str">
        <f>IFERROR(__xludf.DUMMYFUNCTION("GOOGLETRANSLATE(A301, ""en"", ""zh-CN"")"),"清楚地")</f>
        <v>清楚地</v>
      </c>
    </row>
    <row r="302" ht="15.75" customHeight="1">
      <c r="A302" s="3" t="s">
        <v>319</v>
      </c>
      <c r="B302" s="3" t="s">
        <v>12</v>
      </c>
      <c r="C302" s="3" t="s">
        <v>9</v>
      </c>
      <c r="D302" s="4" t="str">
        <f>IFERROR(__xludf.DUMMYFUNCTION("GOOGLETRANSLATE(A302, ""en"", ""zh-CN"")"),"消耗")</f>
        <v>消耗</v>
      </c>
    </row>
    <row r="303" ht="15.75" customHeight="1">
      <c r="A303" s="3" t="s">
        <v>320</v>
      </c>
      <c r="B303" s="3" t="s">
        <v>22</v>
      </c>
      <c r="C303" s="3" t="s">
        <v>16</v>
      </c>
      <c r="D303" s="4" t="str">
        <f>IFERROR(__xludf.DUMMYFUNCTION("GOOGLETRANSLATE(A303, ""en"", ""zh-CN"")"),"聪明的")</f>
        <v>聪明的</v>
      </c>
    </row>
    <row r="304" ht="15.75" customHeight="1">
      <c r="A304" s="3" t="s">
        <v>321</v>
      </c>
      <c r="B304" s="3" t="s">
        <v>8</v>
      </c>
      <c r="C304" s="3" t="s">
        <v>9</v>
      </c>
      <c r="D304" s="4" t="str">
        <f>IFERROR(__xludf.DUMMYFUNCTION("GOOGLETRANSLATE(A304, ""en"", ""zh-CN"")"),"消费者")</f>
        <v>消费者</v>
      </c>
    </row>
    <row r="305" ht="15.75" customHeight="1">
      <c r="A305" s="3" t="s">
        <v>322</v>
      </c>
      <c r="B305" s="3" t="s">
        <v>8</v>
      </c>
      <c r="C305" s="3" t="s">
        <v>16</v>
      </c>
      <c r="D305" s="4" t="str">
        <f>IFERROR(__xludf.DUMMYFUNCTION("GOOGLETRANSLATE(A305, ""en"", ""zh-CN"")"),"野营")</f>
        <v>野营</v>
      </c>
    </row>
    <row r="306" ht="15.75" customHeight="1">
      <c r="A306" s="3" t="s">
        <v>323</v>
      </c>
      <c r="B306" s="3" t="s">
        <v>8</v>
      </c>
      <c r="C306" s="3" t="s">
        <v>9</v>
      </c>
      <c r="D306" s="4" t="str">
        <f>IFERROR(__xludf.DUMMYFUNCTION("GOOGLETRANSLATE(A306, ""en"", ""zh-CN"")"),"客户")</f>
        <v>客户</v>
      </c>
    </row>
    <row r="307" ht="15.75" customHeight="1">
      <c r="A307" s="3" t="s">
        <v>324</v>
      </c>
      <c r="B307" s="3" t="s">
        <v>12</v>
      </c>
      <c r="C307" s="3" t="s">
        <v>16</v>
      </c>
      <c r="D307" s="4" t="str">
        <f>IFERROR(__xludf.DUMMYFUNCTION("GOOGLETRANSLATE(A307, ""en"", ""zh-CN"")"),"包含")</f>
        <v>包含</v>
      </c>
    </row>
    <row r="308" ht="15.75" customHeight="1">
      <c r="A308" s="3" t="s">
        <v>325</v>
      </c>
      <c r="B308" s="3" t="s">
        <v>8</v>
      </c>
      <c r="C308" s="3" t="s">
        <v>9</v>
      </c>
      <c r="D308" s="4" t="str">
        <f>IFERROR(__xludf.DUMMYFUNCTION("GOOGLETRANSLATE(A308, ""en"", ""zh-CN"")"),"校园")</f>
        <v>校园</v>
      </c>
    </row>
    <row r="309" ht="15.75" customHeight="1">
      <c r="A309" s="3" t="s">
        <v>326</v>
      </c>
      <c r="B309" s="3" t="s">
        <v>8</v>
      </c>
      <c r="C309" s="3" t="s">
        <v>16</v>
      </c>
      <c r="D309" s="4" t="str">
        <f>IFERROR(__xludf.DUMMYFUNCTION("GOOGLETRANSLATE(A309, ""en"", ""zh-CN"")"),"气候")</f>
        <v>气候</v>
      </c>
    </row>
    <row r="310" ht="15.75" customHeight="1">
      <c r="A310" s="3" t="s">
        <v>327</v>
      </c>
      <c r="B310" s="3" t="s">
        <v>8</v>
      </c>
      <c r="C310" s="3" t="s">
        <v>9</v>
      </c>
      <c r="D310" s="4" t="str">
        <f>IFERROR(__xludf.DUMMYFUNCTION("GOOGLETRANSLATE(A310, ""en"", ""zh-CN"")"),"容器")</f>
        <v>容器</v>
      </c>
    </row>
    <row r="311" ht="15.75" customHeight="1">
      <c r="A311" s="3" t="s">
        <v>328</v>
      </c>
      <c r="B311" s="3" t="s">
        <v>22</v>
      </c>
      <c r="C311" s="3" t="s">
        <v>13</v>
      </c>
      <c r="D311" s="4" t="str">
        <f>IFERROR(__xludf.DUMMYFUNCTION("GOOGLETRANSLATE(A311, ""en"", ""zh-CN"")"),"当代的")</f>
        <v>当代的</v>
      </c>
    </row>
    <row r="312" ht="15.75" customHeight="1">
      <c r="A312" s="3" t="s">
        <v>329</v>
      </c>
      <c r="B312" s="3" t="s">
        <v>8</v>
      </c>
      <c r="C312" s="3" t="s">
        <v>16</v>
      </c>
      <c r="D312" s="4" t="str">
        <f>IFERROR(__xludf.DUMMYFUNCTION("GOOGLETRANSLATE(A312, ""en"", ""zh-CN"")"),"可以^2")</f>
        <v>可以^2</v>
      </c>
    </row>
    <row r="313" ht="15.75" customHeight="1">
      <c r="A313" s="3" t="s">
        <v>330</v>
      </c>
      <c r="B313" s="3" t="s">
        <v>8</v>
      </c>
      <c r="C313" s="3" t="s">
        <v>6</v>
      </c>
      <c r="D313" s="4" t="str">
        <f>IFERROR(__xludf.DUMMYFUNCTION("GOOGLETRANSLATE(A313, ""en"", ""zh-CN"")"),"钟")</f>
        <v>钟</v>
      </c>
    </row>
    <row r="314" ht="15.75" customHeight="1">
      <c r="A314" s="3" t="s">
        <v>331</v>
      </c>
      <c r="B314" s="3" t="s">
        <v>8</v>
      </c>
      <c r="C314" s="3" t="s">
        <v>9</v>
      </c>
      <c r="D314" s="4" t="str">
        <f>IFERROR(__xludf.DUMMYFUNCTION("GOOGLETRANSLATE(A314, ""en"", ""zh-CN"")"),"content1")</f>
        <v>content1</v>
      </c>
    </row>
    <row r="315" ht="15.75" customHeight="1">
      <c r="A315" s="3" t="s">
        <v>332</v>
      </c>
      <c r="B315" s="3" t="s">
        <v>12</v>
      </c>
      <c r="C315" s="3" t="s">
        <v>13</v>
      </c>
      <c r="D315" s="4" t="str">
        <f>IFERROR(__xludf.DUMMYFUNCTION("GOOGLETRANSLATE(A315, ""en"", ""zh-CN"")"),"取消")</f>
        <v>取消</v>
      </c>
    </row>
    <row r="316" ht="15.75" customHeight="1">
      <c r="A316" s="3" t="s">
        <v>333</v>
      </c>
      <c r="B316" s="3" t="s">
        <v>8</v>
      </c>
      <c r="C316" s="3" t="s">
        <v>13</v>
      </c>
      <c r="D316" s="4" t="str">
        <f>IFERROR(__xludf.DUMMYFUNCTION("GOOGLETRANSLATE(A316, ""en"", ""zh-CN"")"),"癌症")</f>
        <v>癌症</v>
      </c>
    </row>
    <row r="317" ht="15.75" customHeight="1">
      <c r="A317" s="3" t="s">
        <v>334</v>
      </c>
      <c r="B317" s="3" t="s">
        <v>8</v>
      </c>
      <c r="C317" s="3" t="s">
        <v>16</v>
      </c>
      <c r="D317" s="4" t="str">
        <f>IFERROR(__xludf.DUMMYFUNCTION("GOOGLETRANSLATE(A317, ""en"", ""zh-CN"")"),"语境")</f>
        <v>语境</v>
      </c>
    </row>
    <row r="318" ht="15.75" customHeight="1">
      <c r="A318" s="3" t="s">
        <v>335</v>
      </c>
      <c r="B318" s="3" t="s">
        <v>8</v>
      </c>
      <c r="C318" s="3" t="s">
        <v>9</v>
      </c>
      <c r="D318" s="4" t="str">
        <f>IFERROR(__xludf.DUMMYFUNCTION("GOOGLETRANSLATE(A318, ""en"", ""zh-CN"")"),"候选人")</f>
        <v>候选人</v>
      </c>
    </row>
    <row r="319" ht="15.75" customHeight="1">
      <c r="A319" s="3" t="s">
        <v>336</v>
      </c>
      <c r="B319" s="3" t="s">
        <v>22</v>
      </c>
      <c r="C319" s="3" t="s">
        <v>16</v>
      </c>
      <c r="D319" s="4" t="str">
        <f>IFERROR(__xludf.DUMMYFUNCTION("GOOGLETRANSLATE(A319, ""en"", ""zh-CN"")"),"关闭")</f>
        <v>关闭</v>
      </c>
    </row>
    <row r="320" ht="15.75" customHeight="1">
      <c r="A320" s="3" t="s">
        <v>337</v>
      </c>
      <c r="B320" s="3" t="s">
        <v>8</v>
      </c>
      <c r="C320" s="3" t="s">
        <v>16</v>
      </c>
      <c r="D320" s="4" t="str">
        <f>IFERROR(__xludf.DUMMYFUNCTION("GOOGLETRANSLATE(A320, ""en"", ""zh-CN"")"),"大陆")</f>
        <v>大陆</v>
      </c>
    </row>
    <row r="321" ht="15.75" customHeight="1">
      <c r="A321" s="3" t="s">
        <v>338</v>
      </c>
      <c r="B321" s="3" t="s">
        <v>12</v>
      </c>
      <c r="C321" s="3" t="s">
        <v>6</v>
      </c>
      <c r="D321" s="4" t="str">
        <f>IFERROR(__xludf.DUMMYFUNCTION("GOOGLETRANSLATE(A321, ""en"", ""zh-CN"")"),"不能")</f>
        <v>不能</v>
      </c>
    </row>
    <row r="322" ht="15.75" customHeight="1">
      <c r="A322" s="3" t="s">
        <v>339</v>
      </c>
      <c r="B322" s="3" t="s">
        <v>20</v>
      </c>
      <c r="C322" s="3" t="s">
        <v>13</v>
      </c>
      <c r="D322" s="4" t="str">
        <f>IFERROR(__xludf.DUMMYFUNCTION("GOOGLETRANSLATE(A322, ""en"", ""zh-CN"")"),"密切")</f>
        <v>密切</v>
      </c>
    </row>
    <row r="323" ht="15.75" customHeight="1">
      <c r="A323" s="3" t="s">
        <v>340</v>
      </c>
      <c r="B323" s="3" t="s">
        <v>12</v>
      </c>
      <c r="C323" s="3" t="s">
        <v>16</v>
      </c>
      <c r="D323" s="4" t="str">
        <f>IFERROR(__xludf.DUMMYFUNCTION("GOOGLETRANSLATE(A323, ""en"", ""zh-CN"")"),"继续")</f>
        <v>继续</v>
      </c>
    </row>
    <row r="324" ht="15.75" customHeight="1">
      <c r="A324" s="3" t="s">
        <v>341</v>
      </c>
      <c r="B324" s="3" t="s">
        <v>8</v>
      </c>
      <c r="C324" s="3" t="s">
        <v>9</v>
      </c>
      <c r="D324" s="4" t="str">
        <f>IFERROR(__xludf.DUMMYFUNCTION("GOOGLETRANSLATE(A324, ""en"", ""zh-CN"")"),"帽")</f>
        <v>帽</v>
      </c>
    </row>
    <row r="325" ht="15.75" customHeight="1">
      <c r="A325" s="3" t="s">
        <v>342</v>
      </c>
      <c r="B325" s="3" t="s">
        <v>8</v>
      </c>
      <c r="C325" s="3" t="s">
        <v>9</v>
      </c>
      <c r="D325" s="4" t="str">
        <f>IFERROR(__xludf.DUMMYFUNCTION("GOOGLETRANSLATE(A325, ""en"", ""zh-CN"")"),"布")</f>
        <v>布</v>
      </c>
    </row>
    <row r="326" ht="15.75" customHeight="1">
      <c r="A326" s="3" t="s">
        <v>343</v>
      </c>
      <c r="B326" s="3" t="s">
        <v>22</v>
      </c>
      <c r="C326" s="3" t="s">
        <v>9</v>
      </c>
      <c r="D326" s="4" t="str">
        <f>IFERROR(__xludf.DUMMYFUNCTION("GOOGLETRANSLATE(A326, ""en"", ""zh-CN"")"),"连续的")</f>
        <v>连续的</v>
      </c>
    </row>
    <row r="327" ht="15.75" customHeight="1">
      <c r="A327" s="3" t="s">
        <v>344</v>
      </c>
      <c r="B327" s="3" t="s">
        <v>22</v>
      </c>
      <c r="C327" s="3" t="s">
        <v>13</v>
      </c>
      <c r="D327" s="4" t="str">
        <f>IFERROR(__xludf.DUMMYFUNCTION("GOOGLETRANSLATE(A327, ""en"", ""zh-CN"")"),"有能力的")</f>
        <v>有能力的</v>
      </c>
    </row>
    <row r="328" ht="15.75" customHeight="1">
      <c r="A328" s="3" t="s">
        <v>345</v>
      </c>
      <c r="B328" s="3" t="s">
        <v>8</v>
      </c>
      <c r="C328" s="3" t="s">
        <v>6</v>
      </c>
      <c r="D328" s="4" t="str">
        <f>IFERROR(__xludf.DUMMYFUNCTION("GOOGLETRANSLATE(A328, ""en"", ""zh-CN"")"),"衣服")</f>
        <v>衣服</v>
      </c>
    </row>
    <row r="329" ht="15.75" customHeight="1">
      <c r="A329" s="3" t="s">
        <v>346</v>
      </c>
      <c r="B329" s="3" t="s">
        <v>8</v>
      </c>
      <c r="C329" s="3" t="s">
        <v>13</v>
      </c>
      <c r="D329" s="4" t="str">
        <f>IFERROR(__xludf.DUMMYFUNCTION("GOOGLETRANSLATE(A329, ""en"", ""zh-CN"")"),"容量")</f>
        <v>容量</v>
      </c>
    </row>
    <row r="330" ht="15.75" customHeight="1">
      <c r="A330" s="3" t="s">
        <v>347</v>
      </c>
      <c r="B330" s="3" t="s">
        <v>8</v>
      </c>
      <c r="C330" s="3" t="s">
        <v>16</v>
      </c>
      <c r="D330" s="4" t="str">
        <f>IFERROR(__xludf.DUMMYFUNCTION("GOOGLETRANSLATE(A330, ""en"", ""zh-CN"")"),"衣服")</f>
        <v>衣服</v>
      </c>
    </row>
    <row r="331" ht="15.75" customHeight="1">
      <c r="A331" s="3" t="s">
        <v>348</v>
      </c>
      <c r="B331" s="3" t="s">
        <v>8</v>
      </c>
      <c r="C331" s="3" t="s">
        <v>16</v>
      </c>
      <c r="D331" s="4" t="str">
        <f>IFERROR(__xludf.DUMMYFUNCTION("GOOGLETRANSLATE(A331, ""en"", ""zh-CN"")"),"云")</f>
        <v>云</v>
      </c>
    </row>
    <row r="332" ht="15.75" customHeight="1">
      <c r="A332" s="3" t="s">
        <v>349</v>
      </c>
      <c r="B332" s="3" t="s">
        <v>12</v>
      </c>
      <c r="C332" s="3" t="s">
        <v>13</v>
      </c>
      <c r="D332" s="4" t="str">
        <f>IFERROR(__xludf.DUMMYFUNCTION("GOOGLETRANSLATE(A332, ""en"", ""zh-CN"")"),"贡献")</f>
        <v>贡献</v>
      </c>
    </row>
    <row r="333" ht="15.75" customHeight="1">
      <c r="A333" s="3" t="s">
        <v>350</v>
      </c>
      <c r="B333" s="3" t="s">
        <v>8</v>
      </c>
      <c r="C333" s="3" t="s">
        <v>9</v>
      </c>
      <c r="D333" s="4" t="str">
        <f>IFERROR(__xludf.DUMMYFUNCTION("GOOGLETRANSLATE(A333, ""en"", ""zh-CN"")"),"队长")</f>
        <v>队长</v>
      </c>
    </row>
    <row r="334" ht="15.75" customHeight="1">
      <c r="A334" s="3" t="s">
        <v>351</v>
      </c>
      <c r="B334" s="3" t="s">
        <v>8</v>
      </c>
      <c r="C334" s="3" t="s">
        <v>6</v>
      </c>
      <c r="D334" s="4" t="str">
        <f>IFERROR(__xludf.DUMMYFUNCTION("GOOGLETRANSLATE(A334, ""en"", ""zh-CN"")"),"俱乐部")</f>
        <v>俱乐部</v>
      </c>
    </row>
    <row r="335" ht="15.75" customHeight="1">
      <c r="A335" s="3" t="s">
        <v>352</v>
      </c>
      <c r="B335" s="3" t="s">
        <v>8</v>
      </c>
      <c r="C335" s="3" t="s">
        <v>13</v>
      </c>
      <c r="D335" s="4" t="str">
        <f>IFERROR(__xludf.DUMMYFUNCTION("GOOGLETRANSLATE(A335, ""en"", ""zh-CN"")"),"贡献")</f>
        <v>贡献</v>
      </c>
    </row>
    <row r="336" ht="15.75" customHeight="1">
      <c r="A336" s="3" t="s">
        <v>353</v>
      </c>
      <c r="B336" s="3" t="s">
        <v>8</v>
      </c>
      <c r="C336" s="3" t="s">
        <v>9</v>
      </c>
      <c r="D336" s="4" t="str">
        <f>IFERROR(__xludf.DUMMYFUNCTION("GOOGLETRANSLATE(A336, ""en"", ""zh-CN"")"),"线索")</f>
        <v>线索</v>
      </c>
    </row>
    <row r="337" ht="15.75" customHeight="1">
      <c r="A337" s="3" t="s">
        <v>354</v>
      </c>
      <c r="B337" s="3" t="s">
        <v>8</v>
      </c>
      <c r="C337" s="3" t="s">
        <v>6</v>
      </c>
      <c r="D337" s="4" t="str">
        <f>IFERROR(__xludf.DUMMYFUNCTION("GOOGLETRANSLATE(A337, ""en"", ""zh-CN"")"),"车")</f>
        <v>车</v>
      </c>
    </row>
    <row r="338" ht="15.75" customHeight="1">
      <c r="A338" s="3" t="s">
        <v>355</v>
      </c>
      <c r="B338" s="3" t="s">
        <v>22</v>
      </c>
      <c r="C338" s="3" t="s">
        <v>9</v>
      </c>
      <c r="D338" s="4" t="str">
        <f>IFERROR(__xludf.DUMMYFUNCTION("GOOGLETRANSLATE(A338, ""en"", ""zh-CN"")"),"方便的")</f>
        <v>方便的</v>
      </c>
    </row>
    <row r="339" ht="15.75" customHeight="1">
      <c r="A339" s="3" t="s">
        <v>356</v>
      </c>
      <c r="B339" s="3" t="s">
        <v>8</v>
      </c>
      <c r="C339" s="3" t="s">
        <v>6</v>
      </c>
      <c r="D339" s="4" t="str">
        <f>IFERROR(__xludf.DUMMYFUNCTION("GOOGLETRANSLATE(A339, ""en"", ""zh-CN"")"),"卡片")</f>
        <v>卡片</v>
      </c>
    </row>
    <row r="340" ht="15.75" customHeight="1">
      <c r="A340" s="3" t="s">
        <v>357</v>
      </c>
      <c r="B340" s="3" t="s">
        <v>8</v>
      </c>
      <c r="C340" s="3" t="s">
        <v>9</v>
      </c>
      <c r="D340" s="4" t="str">
        <f>IFERROR(__xludf.DUMMYFUNCTION("GOOGLETRANSLATE(A340, ""en"", ""zh-CN"")"),"煤炭")</f>
        <v>煤炭</v>
      </c>
    </row>
    <row r="341" ht="15.75" customHeight="1">
      <c r="A341" s="3" t="s">
        <v>358</v>
      </c>
      <c r="B341" s="3" t="s">
        <v>8</v>
      </c>
      <c r="C341" s="3" t="s">
        <v>6</v>
      </c>
      <c r="D341" s="4" t="str">
        <f>IFERROR(__xludf.DUMMYFUNCTION("GOOGLETRANSLATE(A341, ""en"", ""zh-CN"")"),"对话")</f>
        <v>对话</v>
      </c>
    </row>
    <row r="342" ht="15.75" customHeight="1">
      <c r="A342" s="3" t="s">
        <v>359</v>
      </c>
      <c r="B342" s="3" t="s">
        <v>8</v>
      </c>
      <c r="C342" s="3" t="s">
        <v>16</v>
      </c>
      <c r="D342" s="4" t="str">
        <f>IFERROR(__xludf.DUMMYFUNCTION("GOOGLETRANSLATE(A342, ""en"", ""zh-CN"")"),"海岸")</f>
        <v>海岸</v>
      </c>
    </row>
    <row r="343" ht="15.75" customHeight="1">
      <c r="A343" s="3" t="s">
        <v>360</v>
      </c>
      <c r="B343" s="3" t="s">
        <v>12</v>
      </c>
      <c r="C343" s="3" t="s">
        <v>13</v>
      </c>
      <c r="D343" s="4" t="str">
        <f>IFERROR(__xludf.DUMMYFUNCTION("GOOGLETRANSLATE(A343, ""en"", ""zh-CN"")"),"转变")</f>
        <v>转变</v>
      </c>
    </row>
    <row r="344" ht="15.75" customHeight="1">
      <c r="A344" s="3" t="s">
        <v>361</v>
      </c>
      <c r="B344" s="3" t="s">
        <v>8</v>
      </c>
      <c r="C344" s="3" t="s">
        <v>6</v>
      </c>
      <c r="D344" s="4" t="str">
        <f>IFERROR(__xludf.DUMMYFUNCTION("GOOGLETRANSLATE(A344, ""en"", ""zh-CN"")"),"职业")</f>
        <v>职业</v>
      </c>
    </row>
    <row r="345" ht="15.75" customHeight="1">
      <c r="A345" s="3" t="s">
        <v>362</v>
      </c>
      <c r="B345" s="3" t="s">
        <v>8</v>
      </c>
      <c r="C345" s="3" t="s">
        <v>6</v>
      </c>
      <c r="D345" s="4" t="str">
        <f>IFERROR(__xludf.DUMMYFUNCTION("GOOGLETRANSLATE(A345, ""en"", ""zh-CN"")"),"外套")</f>
        <v>外套</v>
      </c>
    </row>
    <row r="346" ht="15.75" customHeight="1">
      <c r="A346" s="3" t="s">
        <v>363</v>
      </c>
      <c r="B346" s="3" t="s">
        <v>12</v>
      </c>
      <c r="C346" s="3" t="s">
        <v>9</v>
      </c>
      <c r="D346" s="4" t="str">
        <f>IFERROR(__xludf.DUMMYFUNCTION("GOOGLETRANSLATE(A346, ""en"", ""zh-CN"")"),"说服")</f>
        <v>说服</v>
      </c>
    </row>
    <row r="347" ht="15.75" customHeight="1">
      <c r="A347" s="3" t="s">
        <v>364</v>
      </c>
      <c r="B347" s="3" t="s">
        <v>22</v>
      </c>
      <c r="C347" s="3" t="s">
        <v>16</v>
      </c>
      <c r="D347" s="4" t="str">
        <f>IFERROR(__xludf.DUMMYFUNCTION("GOOGLETRANSLATE(A347, ""en"", ""zh-CN"")"),"小心")</f>
        <v>小心</v>
      </c>
    </row>
    <row r="348" ht="15.75" customHeight="1">
      <c r="A348" s="3" t="s">
        <v>365</v>
      </c>
      <c r="B348" s="3" t="s">
        <v>8</v>
      </c>
      <c r="C348" s="3" t="s">
        <v>16</v>
      </c>
      <c r="D348" s="4" t="str">
        <f>IFERROR(__xludf.DUMMYFUNCTION("GOOGLETRANSLATE(A348, ""en"", ""zh-CN"")"),"代码")</f>
        <v>代码</v>
      </c>
    </row>
    <row r="349" ht="15.75" customHeight="1">
      <c r="A349" s="3" t="s">
        <v>366</v>
      </c>
      <c r="B349" s="3" t="s">
        <v>22</v>
      </c>
      <c r="C349" s="3" t="s">
        <v>13</v>
      </c>
      <c r="D349" s="4" t="str">
        <f>IFERROR(__xludf.DUMMYFUNCTION("GOOGLETRANSLATE(A349, ""en"", ""zh-CN"")"),"说服了")</f>
        <v>说服了</v>
      </c>
    </row>
    <row r="350" ht="15.75" customHeight="1">
      <c r="A350" s="3" t="s">
        <v>367</v>
      </c>
      <c r="B350" s="3" t="s">
        <v>20</v>
      </c>
      <c r="C350" s="3" t="s">
        <v>16</v>
      </c>
      <c r="D350" s="4" t="str">
        <f>IFERROR(__xludf.DUMMYFUNCTION("GOOGLETRANSLATE(A350, ""en"", ""zh-CN"")"),"小心")</f>
        <v>小心</v>
      </c>
    </row>
    <row r="351" ht="15.75" customHeight="1">
      <c r="A351" s="3" t="s">
        <v>368</v>
      </c>
      <c r="B351" s="3" t="s">
        <v>8</v>
      </c>
      <c r="C351" s="3" t="s">
        <v>6</v>
      </c>
      <c r="D351" s="4" t="str">
        <f>IFERROR(__xludf.DUMMYFUNCTION("GOOGLETRANSLATE(A351, ""en"", ""zh-CN"")"),"咖啡")</f>
        <v>咖啡</v>
      </c>
    </row>
    <row r="352" ht="15.75" customHeight="1">
      <c r="A352" s="3" t="s">
        <v>369</v>
      </c>
      <c r="B352" s="3" t="s">
        <v>22</v>
      </c>
      <c r="C352" s="3" t="s">
        <v>9</v>
      </c>
      <c r="D352" s="4" t="str">
        <f>IFERROR(__xludf.DUMMYFUNCTION("GOOGLETRANSLATE(A352, ""en"", ""zh-CN"")"),"粗心")</f>
        <v>粗心</v>
      </c>
    </row>
    <row r="353" ht="15.75" customHeight="1">
      <c r="A353" s="3" t="s">
        <v>370</v>
      </c>
      <c r="B353" s="3" t="s">
        <v>8</v>
      </c>
      <c r="C353" s="3" t="s">
        <v>9</v>
      </c>
      <c r="D353" s="4" t="str">
        <f>IFERROR(__xludf.DUMMYFUNCTION("GOOGLETRANSLATE(A353, ""en"", ""zh-CN"")"),"硬币")</f>
        <v>硬币</v>
      </c>
    </row>
    <row r="354" ht="15.75" customHeight="1">
      <c r="A354" s="3" t="s">
        <v>371</v>
      </c>
      <c r="B354" s="3" t="s">
        <v>8</v>
      </c>
      <c r="C354" s="3" t="s">
        <v>16</v>
      </c>
      <c r="D354" s="4" t="str">
        <f>IFERROR(__xludf.DUMMYFUNCTION("GOOGLETRANSLATE(A354, ""en"", ""zh-CN"")"),"炊具")</f>
        <v>炊具</v>
      </c>
    </row>
    <row r="355" ht="15.75" customHeight="1">
      <c r="A355" s="3" t="s">
        <v>372</v>
      </c>
      <c r="B355" s="3" t="s">
        <v>8</v>
      </c>
      <c r="C355" s="3" t="s">
        <v>16</v>
      </c>
      <c r="D355" s="4" t="str">
        <f>IFERROR(__xludf.DUMMYFUNCTION("GOOGLETRANSLATE(A355, ""en"", ""zh-CN"")"),"地毯")</f>
        <v>地毯</v>
      </c>
    </row>
    <row r="356" ht="15.75" customHeight="1">
      <c r="A356" s="3" t="s">
        <v>373</v>
      </c>
      <c r="B356" s="3" t="s">
        <v>8</v>
      </c>
      <c r="C356" s="3" t="s">
        <v>6</v>
      </c>
      <c r="D356" s="4" t="str">
        <f>IFERROR(__xludf.DUMMYFUNCTION("GOOGLETRANSLATE(A356, ""en"", ""zh-CN"")"),"烹饪")</f>
        <v>烹饪</v>
      </c>
    </row>
    <row r="357" ht="15.75" customHeight="1">
      <c r="A357" s="3" t="s">
        <v>374</v>
      </c>
      <c r="B357" s="3" t="s">
        <v>8</v>
      </c>
      <c r="C357" s="3" t="s">
        <v>6</v>
      </c>
      <c r="D357" s="4" t="str">
        <f>IFERROR(__xludf.DUMMYFUNCTION("GOOGLETRANSLATE(A357, ""en"", ""zh-CN"")"),"胡萝卜")</f>
        <v>胡萝卜</v>
      </c>
    </row>
    <row r="358" ht="15.75" customHeight="1">
      <c r="A358" s="3" t="s">
        <v>375</v>
      </c>
      <c r="B358" s="3" t="s">
        <v>12</v>
      </c>
      <c r="C358" s="3" t="s">
        <v>6</v>
      </c>
      <c r="D358" s="4" t="str">
        <f>IFERROR(__xludf.DUMMYFUNCTION("GOOGLETRANSLATE(A358, ""en"", ""zh-CN"")"),"携带")</f>
        <v>携带</v>
      </c>
    </row>
    <row r="359" ht="15.75" customHeight="1">
      <c r="A359" s="3" t="s">
        <v>376</v>
      </c>
      <c r="B359" s="3" t="s">
        <v>8</v>
      </c>
      <c r="C359" s="3" t="s">
        <v>16</v>
      </c>
      <c r="D359" s="4" t="str">
        <f>IFERROR(__xludf.DUMMYFUNCTION("GOOGLETRANSLATE(A359, ""en"", ""zh-CN"")"),"同事")</f>
        <v>同事</v>
      </c>
    </row>
    <row r="360" ht="15.75" customHeight="1">
      <c r="A360" s="3" t="s">
        <v>377</v>
      </c>
      <c r="B360" s="3" t="s">
        <v>8</v>
      </c>
      <c r="C360" s="3" t="s">
        <v>16</v>
      </c>
      <c r="D360" s="4" t="str">
        <f>IFERROR(__xludf.DUMMYFUNCTION("GOOGLETRANSLATE(A360, ""en"", ""zh-CN"")"),"卡通片")</f>
        <v>卡通片</v>
      </c>
    </row>
    <row r="361" ht="15.75" customHeight="1">
      <c r="A361" s="3" t="s">
        <v>378</v>
      </c>
      <c r="B361" s="3" t="s">
        <v>12</v>
      </c>
      <c r="C361" s="3" t="s">
        <v>16</v>
      </c>
      <c r="D361" s="4" t="str">
        <f>IFERROR(__xludf.DUMMYFUNCTION("GOOGLETRANSLATE(A361, ""en"", ""zh-CN"")"),"收集")</f>
        <v>收集</v>
      </c>
    </row>
    <row r="362" ht="15.75" customHeight="1">
      <c r="A362" s="3" t="s">
        <v>379</v>
      </c>
      <c r="B362" s="3" t="s">
        <v>8</v>
      </c>
      <c r="C362" s="3" t="s">
        <v>16</v>
      </c>
      <c r="D362" s="4" t="str">
        <f>IFERROR(__xludf.DUMMYFUNCTION("GOOGLETRANSLATE(A362, ""en"", ""zh-CN"")"),"案件")</f>
        <v>案件</v>
      </c>
    </row>
    <row r="363" ht="15.75" customHeight="1">
      <c r="A363" s="3" t="s">
        <v>380</v>
      </c>
      <c r="B363" s="3" t="s">
        <v>8</v>
      </c>
      <c r="C363" s="3" t="s">
        <v>9</v>
      </c>
      <c r="D363" s="4" t="str">
        <f>IFERROR(__xludf.DUMMYFUNCTION("GOOGLETRANSLATE(A363, ""en"", ""zh-CN"")"),"收藏")</f>
        <v>收藏</v>
      </c>
    </row>
    <row r="364" ht="15.75" customHeight="1">
      <c r="A364" s="3" t="s">
        <v>381</v>
      </c>
      <c r="B364" s="3" t="s">
        <v>8</v>
      </c>
      <c r="C364" s="3" t="s">
        <v>16</v>
      </c>
      <c r="D364" s="4" t="str">
        <f>IFERROR(__xludf.DUMMYFUNCTION("GOOGLETRANSLATE(A364, ""en"", ""zh-CN"")"),"角落")</f>
        <v>角落</v>
      </c>
    </row>
    <row r="365" ht="15.75" customHeight="1">
      <c r="A365" s="3" t="s">
        <v>382</v>
      </c>
      <c r="B365" s="3" t="s">
        <v>8</v>
      </c>
      <c r="C365" s="3" t="s">
        <v>16</v>
      </c>
      <c r="D365" s="4" t="str">
        <f>IFERROR(__xludf.DUMMYFUNCTION("GOOGLETRANSLATE(A365, ""en"", ""zh-CN"")"),"现金")</f>
        <v>现金</v>
      </c>
    </row>
    <row r="366" ht="15.75" customHeight="1">
      <c r="A366" s="3" t="s">
        <v>383</v>
      </c>
      <c r="B366" s="3" t="s">
        <v>8</v>
      </c>
      <c r="C366" s="3" t="s">
        <v>6</v>
      </c>
      <c r="D366" s="4" t="str">
        <f>IFERROR(__xludf.DUMMYFUNCTION("GOOGLETRANSLATE(A366, ""en"", ""zh-CN"")"),"大学")</f>
        <v>大学</v>
      </c>
    </row>
    <row r="367" ht="15.75" customHeight="1">
      <c r="A367" s="3" t="s">
        <v>384</v>
      </c>
      <c r="B367" s="3" t="s">
        <v>22</v>
      </c>
      <c r="C367" s="3" t="s">
        <v>13</v>
      </c>
      <c r="D367" s="4" t="str">
        <f>IFERROR(__xludf.DUMMYFUNCTION("GOOGLETRANSLATE(A367, ""en"", ""zh-CN"")"),"公司的")</f>
        <v>公司的</v>
      </c>
    </row>
    <row r="368" ht="15.75" customHeight="1">
      <c r="A368" s="3" t="s">
        <v>385</v>
      </c>
      <c r="B368" s="3" t="s">
        <v>8</v>
      </c>
      <c r="C368" s="3" t="s">
        <v>6</v>
      </c>
      <c r="D368" s="4" t="str">
        <f>IFERROR(__xludf.DUMMYFUNCTION("GOOGLETRANSLATE(A368, ""en"", ""zh-CN"")"),"颜色")</f>
        <v>颜色</v>
      </c>
    </row>
    <row r="369" ht="15.75" customHeight="1">
      <c r="A369" s="3" t="s">
        <v>386</v>
      </c>
      <c r="B369" s="3" t="s">
        <v>8</v>
      </c>
      <c r="C369" s="3" t="s">
        <v>16</v>
      </c>
      <c r="D369" s="4" t="str">
        <f>IFERROR(__xludf.DUMMYFUNCTION("GOOGLETRANSLATE(A369, ""en"", ""zh-CN"")"),"城堡")</f>
        <v>城堡</v>
      </c>
    </row>
    <row r="370" ht="15.75" customHeight="1">
      <c r="A370" s="3" t="s">
        <v>387</v>
      </c>
      <c r="B370" s="3" t="s">
        <v>22</v>
      </c>
      <c r="C370" s="3" t="s">
        <v>9</v>
      </c>
      <c r="D370" s="4" t="str">
        <f>IFERROR(__xludf.DUMMYFUNCTION("GOOGLETRANSLATE(A370, ""en"", ""zh-CN"")"),"有色")</f>
        <v>有色</v>
      </c>
    </row>
    <row r="371" ht="15.75" customHeight="1">
      <c r="A371" s="3" t="s">
        <v>388</v>
      </c>
      <c r="B371" s="3" t="s">
        <v>20</v>
      </c>
      <c r="C371" s="3" t="s">
        <v>16</v>
      </c>
      <c r="D371" s="4" t="str">
        <f>IFERROR(__xludf.DUMMYFUNCTION("GOOGLETRANSLATE(A371, ""en"", ""zh-CN"")"),"正确")</f>
        <v>正确</v>
      </c>
    </row>
    <row r="372" ht="15.75" customHeight="1">
      <c r="A372" s="3" t="s">
        <v>389</v>
      </c>
      <c r="B372" s="3" t="s">
        <v>8</v>
      </c>
      <c r="C372" s="3" t="s">
        <v>6</v>
      </c>
      <c r="D372" s="4" t="str">
        <f>IFERROR(__xludf.DUMMYFUNCTION("GOOGLETRANSLATE(A372, ""en"", ""zh-CN"")"),"猫")</f>
        <v>猫</v>
      </c>
    </row>
    <row r="373" ht="15.75" customHeight="1">
      <c r="A373" s="3" t="s">
        <v>390</v>
      </c>
      <c r="B373" s="3" t="s">
        <v>8</v>
      </c>
      <c r="C373" s="3" t="s">
        <v>16</v>
      </c>
      <c r="D373" s="4" t="str">
        <f>IFERROR(__xludf.DUMMYFUNCTION("GOOGLETRANSLATE(A373, ""en"", ""zh-CN"")"),"柱子")</f>
        <v>柱子</v>
      </c>
    </row>
    <row r="374" ht="15.75" customHeight="1">
      <c r="A374" s="3" t="s">
        <v>391</v>
      </c>
      <c r="B374" s="3" t="s">
        <v>8</v>
      </c>
      <c r="C374" s="3" t="s">
        <v>13</v>
      </c>
      <c r="D374" s="4" t="str">
        <f>IFERROR(__xludf.DUMMYFUNCTION("GOOGLETRANSLATE(A374, ""en"", ""zh-CN"")"),"组合")</f>
        <v>组合</v>
      </c>
    </row>
    <row r="375" ht="15.75" customHeight="1">
      <c r="A375" s="3" t="s">
        <v>392</v>
      </c>
      <c r="B375" s="3" t="s">
        <v>8</v>
      </c>
      <c r="C375" s="3" t="s">
        <v>9</v>
      </c>
      <c r="D375" s="4" t="str">
        <f>IFERROR(__xludf.DUMMYFUNCTION("GOOGLETRANSLATE(A375, ""en"", ""zh-CN"")"),"戏服")</f>
        <v>戏服</v>
      </c>
    </row>
    <row r="376" ht="15.75" customHeight="1">
      <c r="A376" s="3" t="s">
        <v>393</v>
      </c>
      <c r="B376" s="3" t="s">
        <v>8</v>
      </c>
      <c r="C376" s="3" t="s">
        <v>9</v>
      </c>
      <c r="D376" s="4" t="str">
        <f>IFERROR(__xludf.DUMMYFUNCTION("GOOGLETRANSLATE(A376, ""en"", ""zh-CN"")"),"类别")</f>
        <v>类别</v>
      </c>
    </row>
    <row r="377" ht="15.75" customHeight="1">
      <c r="A377" s="3" t="s">
        <v>394</v>
      </c>
      <c r="B377" s="3" t="s">
        <v>12</v>
      </c>
      <c r="C377" s="3" t="s">
        <v>9</v>
      </c>
      <c r="D377" s="4" t="str">
        <f>IFERROR(__xludf.DUMMYFUNCTION("GOOGLETRANSLATE(A377, ""en"", ""zh-CN"")"),"结合")</f>
        <v>结合</v>
      </c>
    </row>
    <row r="378" ht="15.75" customHeight="1">
      <c r="A378" s="3" t="s">
        <v>395</v>
      </c>
      <c r="B378" s="3" t="s">
        <v>8</v>
      </c>
      <c r="C378" s="3" t="s">
        <v>9</v>
      </c>
      <c r="D378" s="4" t="str">
        <f>IFERROR(__xludf.DUMMYFUNCTION("GOOGLETRANSLATE(A378, ""en"", ""zh-CN"")"),"小屋")</f>
        <v>小屋</v>
      </c>
    </row>
    <row r="379" ht="15.75" customHeight="1">
      <c r="A379" s="3" t="s">
        <v>396</v>
      </c>
      <c r="B379" s="3" t="s">
        <v>12</v>
      </c>
      <c r="C379" s="3" t="s">
        <v>6</v>
      </c>
      <c r="D379" s="4" t="str">
        <f>IFERROR(__xludf.DUMMYFUNCTION("GOOGLETRANSLATE(A379, ""en"", ""zh-CN"")"),"来")</f>
        <v>来</v>
      </c>
    </row>
    <row r="380" ht="15.75" customHeight="1">
      <c r="A380" s="3" t="s">
        <v>397</v>
      </c>
      <c r="B380" s="3" t="s">
        <v>8</v>
      </c>
      <c r="C380" s="3" t="s">
        <v>9</v>
      </c>
      <c r="D380" s="4" t="str">
        <f>IFERROR(__xludf.DUMMYFUNCTION("GOOGLETRANSLATE(A380, ""en"", ""zh-CN"")"),"棉布")</f>
        <v>棉布</v>
      </c>
    </row>
    <row r="381" ht="15.75" customHeight="1">
      <c r="A381" s="3" t="s">
        <v>398</v>
      </c>
      <c r="B381" s="3" t="s">
        <v>8</v>
      </c>
      <c r="C381" s="3" t="s">
        <v>6</v>
      </c>
      <c r="D381" s="4" t="str">
        <f>IFERROR(__xludf.DUMMYFUNCTION("GOOGLETRANSLATE(A381, ""en"", ""zh-CN"")"),"光盘")</f>
        <v>光盘</v>
      </c>
    </row>
    <row r="382" ht="15.75" customHeight="1">
      <c r="A382" s="3" t="s">
        <v>399</v>
      </c>
      <c r="B382" s="3" t="s">
        <v>8</v>
      </c>
      <c r="C382" s="3" t="s">
        <v>16</v>
      </c>
      <c r="D382" s="4" t="str">
        <f>IFERROR(__xludf.DUMMYFUNCTION("GOOGLETRANSLATE(A382, ""en"", ""zh-CN"")"),"喜剧")</f>
        <v>喜剧</v>
      </c>
    </row>
    <row r="383" ht="15.75" customHeight="1">
      <c r="A383" s="3" t="s">
        <v>400</v>
      </c>
      <c r="B383" s="3" t="s">
        <v>8</v>
      </c>
      <c r="C383" s="3" t="s">
        <v>9</v>
      </c>
      <c r="D383" s="4" t="str">
        <f>IFERROR(__xludf.DUMMYFUNCTION("GOOGLETRANSLATE(A383, ""en"", ""zh-CN"")"),"天花板")</f>
        <v>天花板</v>
      </c>
    </row>
    <row r="384" ht="15.75" customHeight="1">
      <c r="A384" s="3" t="s">
        <v>401</v>
      </c>
      <c r="B384" s="3" t="s">
        <v>8</v>
      </c>
      <c r="C384" s="3" t="s">
        <v>13</v>
      </c>
      <c r="D384" s="4" t="str">
        <f>IFERROR(__xludf.DUMMYFUNCTION("GOOGLETRANSLATE(A384, ""en"", ""zh-CN"")"),"理事会")</f>
        <v>理事会</v>
      </c>
    </row>
    <row r="385" ht="15.75" customHeight="1">
      <c r="A385" s="3" t="s">
        <v>402</v>
      </c>
      <c r="B385" s="3" t="s">
        <v>12</v>
      </c>
      <c r="C385" s="3" t="s">
        <v>16</v>
      </c>
      <c r="D385" s="4" t="str">
        <f>IFERROR(__xludf.DUMMYFUNCTION("GOOGLETRANSLATE(A385, ""en"", ""zh-CN"")"),"庆祝")</f>
        <v>庆祝</v>
      </c>
    </row>
    <row r="386" ht="15.75" customHeight="1">
      <c r="A386" s="3" t="s">
        <v>403</v>
      </c>
      <c r="B386" s="3" t="s">
        <v>22</v>
      </c>
      <c r="C386" s="3" t="s">
        <v>16</v>
      </c>
      <c r="D386" s="4" t="str">
        <f>IFERROR(__xludf.DUMMYFUNCTION("GOOGLETRANSLATE(A386, ""en"", ""zh-CN"")"),"舒服的")</f>
        <v>舒服的</v>
      </c>
    </row>
    <row r="387" ht="15.75" customHeight="1">
      <c r="A387" s="3" t="s">
        <v>404</v>
      </c>
      <c r="B387" s="3" t="s">
        <v>8</v>
      </c>
      <c r="C387" s="3" t="s">
        <v>9</v>
      </c>
      <c r="D387" s="4" t="str">
        <f>IFERROR(__xludf.DUMMYFUNCTION("GOOGLETRANSLATE(A387, ""en"", ""zh-CN"")"),"庆典")</f>
        <v>庆典</v>
      </c>
    </row>
    <row r="388" ht="15.75" customHeight="1">
      <c r="A388" s="3" t="s">
        <v>405</v>
      </c>
      <c r="B388" s="3" t="s">
        <v>8</v>
      </c>
      <c r="C388" s="3" t="s">
        <v>6</v>
      </c>
      <c r="D388" s="4" t="str">
        <f>IFERROR(__xludf.DUMMYFUNCTION("GOOGLETRANSLATE(A388, ""en"", ""zh-CN"")"),"国家")</f>
        <v>国家</v>
      </c>
    </row>
    <row r="389" ht="15.75" customHeight="1">
      <c r="A389" s="3" t="s">
        <v>406</v>
      </c>
      <c r="B389" s="3" t="s">
        <v>8</v>
      </c>
      <c r="C389" s="3" t="s">
        <v>16</v>
      </c>
      <c r="D389" s="4" t="str">
        <f>IFERROR(__xludf.DUMMYFUNCTION("GOOGLETRANSLATE(A389, ""en"", ""zh-CN"")"),"名人")</f>
        <v>名人</v>
      </c>
    </row>
    <row r="390" ht="15.75" customHeight="1">
      <c r="A390" s="3" t="s">
        <v>407</v>
      </c>
      <c r="B390" s="3" t="s">
        <v>8</v>
      </c>
      <c r="C390" s="3" t="s">
        <v>9</v>
      </c>
      <c r="D390" s="4" t="str">
        <f>IFERROR(__xludf.DUMMYFUNCTION("GOOGLETRANSLATE(A390, ""en"", ""zh-CN"")"),"农村")</f>
        <v>农村</v>
      </c>
    </row>
    <row r="391" ht="15.75" customHeight="1">
      <c r="A391" s="3" t="s">
        <v>408</v>
      </c>
      <c r="B391" s="3" t="s">
        <v>8</v>
      </c>
      <c r="C391" s="3" t="s">
        <v>13</v>
      </c>
      <c r="D391" s="4" t="str">
        <f>IFERROR(__xludf.DUMMYFUNCTION("GOOGLETRANSLATE(A391, ""en"", ""zh-CN"")"),"细胞")</f>
        <v>细胞</v>
      </c>
    </row>
    <row r="392" ht="15.75" customHeight="1">
      <c r="A392" s="3" t="s">
        <v>409</v>
      </c>
      <c r="B392" s="3" t="s">
        <v>8</v>
      </c>
      <c r="C392" s="3" t="s">
        <v>13</v>
      </c>
      <c r="D392" s="4" t="str">
        <f>IFERROR(__xludf.DUMMYFUNCTION("GOOGLETRANSLATE(A392, ""en"", ""zh-CN"")"),"县")</f>
        <v>县</v>
      </c>
    </row>
    <row r="393" ht="15.75" customHeight="1">
      <c r="A393" s="3" t="s">
        <v>410</v>
      </c>
      <c r="B393" s="3" t="s">
        <v>8</v>
      </c>
      <c r="C393" s="3" t="s">
        <v>6</v>
      </c>
      <c r="D393" s="4" t="str">
        <f>IFERROR(__xludf.DUMMYFUNCTION("GOOGLETRANSLATE(A393, ""en"", ""zh-CN"")"),"百分点")</f>
        <v>百分点</v>
      </c>
    </row>
    <row r="394" ht="15.75" customHeight="1">
      <c r="A394" s="3" t="s">
        <v>411</v>
      </c>
      <c r="B394" s="3" t="s">
        <v>8</v>
      </c>
      <c r="C394" s="3" t="s">
        <v>16</v>
      </c>
      <c r="D394" s="4" t="str">
        <f>IFERROR(__xludf.DUMMYFUNCTION("GOOGLETRANSLATE(A394, ""en"", ""zh-CN"")"),"夫妻")</f>
        <v>夫妻</v>
      </c>
    </row>
    <row r="395" ht="15.75" customHeight="1">
      <c r="A395" s="3" t="s">
        <v>412</v>
      </c>
      <c r="B395" s="3" t="s">
        <v>22</v>
      </c>
      <c r="C395" s="3" t="s">
        <v>9</v>
      </c>
      <c r="D395" s="4" t="str">
        <f>IFERROR(__xludf.DUMMYFUNCTION("GOOGLETRANSLATE(A395, ""en"", ""zh-CN"")"),"中央")</f>
        <v>中央</v>
      </c>
    </row>
    <row r="396" ht="15.75" customHeight="1">
      <c r="A396" s="3" t="s">
        <v>413</v>
      </c>
      <c r="B396" s="3" t="s">
        <v>12</v>
      </c>
      <c r="C396" s="3" t="s">
        <v>9</v>
      </c>
      <c r="D396" s="4" t="str">
        <f>IFERROR(__xludf.DUMMYFUNCTION("GOOGLETRANSLATE(A396, ""en"", ""zh-CN"")"),"犯罪")</f>
        <v>犯罪</v>
      </c>
    </row>
    <row r="397" ht="15.75" customHeight="1">
      <c r="A397" s="3" t="s">
        <v>414</v>
      </c>
      <c r="B397" s="3" t="s">
        <v>8</v>
      </c>
      <c r="C397" s="3" t="s">
        <v>13</v>
      </c>
      <c r="D397" s="4" t="str">
        <f>IFERROR(__xludf.DUMMYFUNCTION("GOOGLETRANSLATE(A397, ""en"", ""zh-CN"")"),"勇气")</f>
        <v>勇气</v>
      </c>
    </row>
    <row r="398" ht="15.75" customHeight="1">
      <c r="A398" s="3" t="s">
        <v>415</v>
      </c>
      <c r="B398" s="3" t="s">
        <v>8</v>
      </c>
      <c r="C398" s="3" t="s">
        <v>13</v>
      </c>
      <c r="D398" s="4" t="str">
        <f>IFERROR(__xludf.DUMMYFUNCTION("GOOGLETRANSLATE(A398, ""en"", ""zh-CN"")"),"承诺")</f>
        <v>承诺</v>
      </c>
    </row>
    <row r="399" ht="15.75" customHeight="1">
      <c r="A399" s="3" t="s">
        <v>416</v>
      </c>
      <c r="B399" s="3" t="s">
        <v>8</v>
      </c>
      <c r="C399" s="3" t="s">
        <v>6</v>
      </c>
      <c r="D399" s="4" t="str">
        <f>IFERROR(__xludf.DUMMYFUNCTION("GOOGLETRANSLATE(A399, ""en"", ""zh-CN"")"),"课程")</f>
        <v>课程</v>
      </c>
    </row>
    <row r="400" ht="15.75" customHeight="1">
      <c r="A400" s="3" t="s">
        <v>417</v>
      </c>
      <c r="B400" s="3" t="s">
        <v>8</v>
      </c>
      <c r="C400" s="3" t="s">
        <v>6</v>
      </c>
      <c r="D400" s="4" t="str">
        <f>IFERROR(__xludf.DUMMYFUNCTION("GOOGLETRANSLATE(A400, ""en"", ""zh-CN"")"),"世纪")</f>
        <v>世纪</v>
      </c>
    </row>
    <row r="401" ht="15.75" customHeight="1">
      <c r="A401" s="3" t="s">
        <v>418</v>
      </c>
      <c r="B401" s="3" t="s">
        <v>8</v>
      </c>
      <c r="C401" s="3" t="s">
        <v>13</v>
      </c>
      <c r="D401" s="4" t="str">
        <f>IFERROR(__xludf.DUMMYFUNCTION("GOOGLETRANSLATE(A401, ""en"", ""zh-CN"")"),"委员会")</f>
        <v>委员会</v>
      </c>
    </row>
    <row r="402" ht="15.75" customHeight="1">
      <c r="A402" s="3" t="s">
        <v>419</v>
      </c>
      <c r="B402" s="3" t="s">
        <v>8</v>
      </c>
      <c r="C402" s="3" t="s">
        <v>9</v>
      </c>
      <c r="D402" s="4" t="str">
        <f>IFERROR(__xludf.DUMMYFUNCTION("GOOGLETRANSLATE(A402, ""en"", ""zh-CN"")"),"法庭")</f>
        <v>法庭</v>
      </c>
    </row>
    <row r="403" ht="15.75" customHeight="1">
      <c r="A403" s="3" t="s">
        <v>420</v>
      </c>
      <c r="B403" s="3" t="s">
        <v>8</v>
      </c>
      <c r="C403" s="3" t="s">
        <v>9</v>
      </c>
      <c r="D403" s="4" t="str">
        <f>IFERROR(__xludf.DUMMYFUNCTION("GOOGLETRANSLATE(A403, ""en"", ""zh-CN"")"),"仪式")</f>
        <v>仪式</v>
      </c>
    </row>
    <row r="404" ht="15.75" customHeight="1">
      <c r="A404" s="3" t="s">
        <v>421</v>
      </c>
      <c r="B404" s="3" t="s">
        <v>8</v>
      </c>
      <c r="C404" s="3" t="s">
        <v>6</v>
      </c>
      <c r="D404" s="4" t="str">
        <f>IFERROR(__xludf.DUMMYFUNCTION("GOOGLETRANSLATE(A404, ""en"", ""zh-CN"")"),"表哥")</f>
        <v>表哥</v>
      </c>
    </row>
    <row r="405" ht="15.75" customHeight="1">
      <c r="A405" s="3" t="s">
        <v>422</v>
      </c>
      <c r="B405" s="3" t="s">
        <v>22</v>
      </c>
      <c r="C405" s="3" t="s">
        <v>16</v>
      </c>
      <c r="D405" s="4" t="str">
        <f>IFERROR(__xludf.DUMMYFUNCTION("GOOGLETRANSLATE(A405, ""en"", ""zh-CN"")"),"肯定")</f>
        <v>肯定</v>
      </c>
    </row>
    <row r="406" ht="15.75" customHeight="1">
      <c r="A406" s="3" t="s">
        <v>423</v>
      </c>
      <c r="B406" s="3" t="s">
        <v>20</v>
      </c>
      <c r="C406" s="3" t="s">
        <v>13</v>
      </c>
      <c r="D406" s="4" t="str">
        <f>IFERROR(__xludf.DUMMYFUNCTION("GOOGLETRANSLATE(A406, ""en"", ""zh-CN"")"),"通常")</f>
        <v>通常</v>
      </c>
    </row>
    <row r="407" ht="15.75" customHeight="1">
      <c r="A407" s="3" t="s">
        <v>424</v>
      </c>
      <c r="B407" s="3" t="s">
        <v>20</v>
      </c>
      <c r="C407" s="3" t="s">
        <v>16</v>
      </c>
      <c r="D407" s="4" t="str">
        <f>IFERROR(__xludf.DUMMYFUNCTION("GOOGLETRANSLATE(A407, ""en"", ""zh-CN"")"),"当然")</f>
        <v>当然</v>
      </c>
    </row>
    <row r="408" ht="15.75" customHeight="1">
      <c r="A408" s="3" t="s">
        <v>425</v>
      </c>
      <c r="B408" s="3" t="s">
        <v>12</v>
      </c>
      <c r="C408" s="3" t="s">
        <v>16</v>
      </c>
      <c r="D408" s="4" t="str">
        <f>IFERROR(__xludf.DUMMYFUNCTION("GOOGLETRANSLATE(A408, ""en"", ""zh-CN"")"),"交流")</f>
        <v>交流</v>
      </c>
    </row>
    <row r="409" ht="15.75" customHeight="1">
      <c r="A409" s="3" t="s">
        <v>426</v>
      </c>
      <c r="B409" s="3" t="s">
        <v>22</v>
      </c>
      <c r="C409" s="3" t="s">
        <v>9</v>
      </c>
      <c r="D409" s="4" t="str">
        <f>IFERROR(__xludf.DUMMYFUNCTION("GOOGLETRANSLATE(A409, ""en"", ""zh-CN"")"),"覆盖")</f>
        <v>覆盖</v>
      </c>
    </row>
    <row r="410" ht="15.75" customHeight="1">
      <c r="A410" s="3" t="s">
        <v>427</v>
      </c>
      <c r="B410" s="3" t="s">
        <v>8</v>
      </c>
      <c r="C410" s="3" t="s">
        <v>9</v>
      </c>
      <c r="D410" s="4" t="str">
        <f>IFERROR(__xludf.DUMMYFUNCTION("GOOGLETRANSLATE(A410, ""en"", ""zh-CN"")"),"沟通")</f>
        <v>沟通</v>
      </c>
    </row>
    <row r="411" ht="15.75" customHeight="1">
      <c r="A411" s="3" t="s">
        <v>428</v>
      </c>
      <c r="B411" s="3" t="s">
        <v>8</v>
      </c>
      <c r="C411" s="3" t="s">
        <v>6</v>
      </c>
      <c r="D411" s="4" t="str">
        <f>IFERROR(__xludf.DUMMYFUNCTION("GOOGLETRANSLATE(A411, ""en"", ""zh-CN"")"),"奶牛")</f>
        <v>奶牛</v>
      </c>
    </row>
    <row r="412" ht="15.75" customHeight="1">
      <c r="A412" s="3" t="s">
        <v>429</v>
      </c>
      <c r="B412" s="3" t="s">
        <v>8</v>
      </c>
      <c r="C412" s="3" t="s">
        <v>16</v>
      </c>
      <c r="D412" s="4" t="str">
        <f>IFERROR(__xludf.DUMMYFUNCTION("GOOGLETRANSLATE(A412, ""en"", ""zh-CN"")"),"社区")</f>
        <v>社区</v>
      </c>
    </row>
    <row r="413" ht="15.75" customHeight="1">
      <c r="A413" s="3" t="s">
        <v>430</v>
      </c>
      <c r="B413" s="3" t="s">
        <v>8</v>
      </c>
      <c r="C413" s="3" t="s">
        <v>13</v>
      </c>
      <c r="D413" s="4" t="str">
        <f>IFERROR(__xludf.DUMMYFUNCTION("GOOGLETRANSLATE(A413, ""en"", ""zh-CN"")"),"主席")</f>
        <v>主席</v>
      </c>
    </row>
    <row r="414" ht="15.75" customHeight="1">
      <c r="A414" s="3" t="s">
        <v>431</v>
      </c>
      <c r="B414" s="3" t="s">
        <v>8</v>
      </c>
      <c r="C414" s="3" t="s">
        <v>6</v>
      </c>
      <c r="D414" s="4" t="str">
        <f>IFERROR(__xludf.DUMMYFUNCTION("GOOGLETRANSLATE(A414, ""en"", ""zh-CN"")"),"公司")</f>
        <v>公司</v>
      </c>
    </row>
    <row r="415" ht="15.75" customHeight="1">
      <c r="A415" s="3" t="s">
        <v>432</v>
      </c>
      <c r="B415" s="3" t="s">
        <v>22</v>
      </c>
      <c r="C415" s="3" t="s">
        <v>16</v>
      </c>
      <c r="D415" s="4" t="str">
        <f>IFERROR(__xludf.DUMMYFUNCTION("GOOGLETRANSLATE(A415, ""en"", ""zh-CN"")"),"疯狂的")</f>
        <v>疯狂的</v>
      </c>
    </row>
    <row r="416" ht="15.75" customHeight="1">
      <c r="A416" s="3" t="s">
        <v>433</v>
      </c>
      <c r="B416" s="3" t="s">
        <v>12</v>
      </c>
      <c r="C416" s="3" t="s">
        <v>6</v>
      </c>
      <c r="D416" s="4" t="str">
        <f>IFERROR(__xludf.DUMMYFUNCTION("GOOGLETRANSLATE(A416, ""en"", ""zh-CN"")"),"比较")</f>
        <v>比较</v>
      </c>
    </row>
    <row r="417" ht="15.75" customHeight="1">
      <c r="A417" s="3" t="s">
        <v>434</v>
      </c>
      <c r="B417" s="3" t="s">
        <v>8</v>
      </c>
      <c r="C417" s="3" t="s">
        <v>9</v>
      </c>
      <c r="D417" s="4" t="str">
        <f>IFERROR(__xludf.DUMMYFUNCTION("GOOGLETRANSLATE(A417, ""en"", ""zh-CN"")"),"冠军")</f>
        <v>冠军</v>
      </c>
    </row>
    <row r="418" ht="15.75" customHeight="1">
      <c r="A418" s="3" t="s">
        <v>435</v>
      </c>
      <c r="B418" s="3" t="s">
        <v>8</v>
      </c>
      <c r="C418" s="3" t="s">
        <v>9</v>
      </c>
      <c r="D418" s="4" t="str">
        <f>IFERROR(__xludf.DUMMYFUNCTION("GOOGLETRANSLATE(A418, ""en"", ""zh-CN"")"),"比较")</f>
        <v>比较</v>
      </c>
    </row>
    <row r="419" ht="15.75" customHeight="1">
      <c r="A419" s="3" t="s">
        <v>436</v>
      </c>
      <c r="B419" s="3" t="s">
        <v>12</v>
      </c>
      <c r="C419" s="3" t="s">
        <v>6</v>
      </c>
      <c r="D419" s="4" t="str">
        <f>IFERROR(__xludf.DUMMYFUNCTION("GOOGLETRANSLATE(A419, ""en"", ""zh-CN"")"),"创造")</f>
        <v>创造</v>
      </c>
    </row>
    <row r="420" ht="15.75" customHeight="1">
      <c r="A420" s="3" t="s">
        <v>437</v>
      </c>
      <c r="B420" s="3" t="s">
        <v>8</v>
      </c>
      <c r="C420" s="3" t="s">
        <v>16</v>
      </c>
      <c r="D420" s="4" t="str">
        <f>IFERROR(__xludf.DUMMYFUNCTION("GOOGLETRANSLATE(A420, ""en"", ""zh-CN"")"),"机会")</f>
        <v>机会</v>
      </c>
    </row>
    <row r="421" ht="15.75" customHeight="1">
      <c r="A421" s="3" t="s">
        <v>438</v>
      </c>
      <c r="B421" s="3" t="s">
        <v>12</v>
      </c>
      <c r="C421" s="3" t="s">
        <v>16</v>
      </c>
      <c r="D421" s="4" t="str">
        <f>IFERROR(__xludf.DUMMYFUNCTION("GOOGLETRANSLATE(A421, ""en"", ""zh-CN"")"),"竞争")</f>
        <v>竞争</v>
      </c>
    </row>
    <row r="422" ht="15.75" customHeight="1">
      <c r="A422" s="3" t="s">
        <v>439</v>
      </c>
      <c r="B422" s="3" t="s">
        <v>8</v>
      </c>
      <c r="C422" s="3" t="s">
        <v>13</v>
      </c>
      <c r="D422" s="4" t="str">
        <f>IFERROR(__xludf.DUMMYFUNCTION("GOOGLETRANSLATE(A422, ""en"", ""zh-CN"")"),"创建")</f>
        <v>创建</v>
      </c>
    </row>
    <row r="423" ht="15.75" customHeight="1">
      <c r="A423" s="3" t="s">
        <v>440</v>
      </c>
      <c r="B423" s="3" t="s">
        <v>8</v>
      </c>
      <c r="C423" s="3" t="s">
        <v>16</v>
      </c>
      <c r="D423" s="4" t="str">
        <f>IFERROR(__xludf.DUMMYFUNCTION("GOOGLETRANSLATE(A423, ""en"", ""zh-CN"")"),"竞赛")</f>
        <v>竞赛</v>
      </c>
    </row>
    <row r="424" ht="15.75" customHeight="1">
      <c r="A424" s="3" t="s">
        <v>441</v>
      </c>
      <c r="B424" s="3" t="s">
        <v>22</v>
      </c>
      <c r="C424" s="3" t="s">
        <v>16</v>
      </c>
      <c r="D424" s="4" t="str">
        <f>IFERROR(__xludf.DUMMYFUNCTION("GOOGLETRANSLATE(A424, ""en"", ""zh-CN"")"),"有创造力的")</f>
        <v>有创造力的</v>
      </c>
    </row>
    <row r="425" ht="15.75" customHeight="1">
      <c r="A425" s="3" t="s">
        <v>442</v>
      </c>
      <c r="B425" s="3" t="s">
        <v>8</v>
      </c>
      <c r="C425" s="3" t="s">
        <v>9</v>
      </c>
      <c r="D425" s="4" t="str">
        <f>IFERROR(__xludf.DUMMYFUNCTION("GOOGLETRANSLATE(A425, ""en"", ""zh-CN"")"),"渠道")</f>
        <v>渠道</v>
      </c>
    </row>
    <row r="426" ht="15.75" customHeight="1">
      <c r="A426" s="3" t="s">
        <v>443</v>
      </c>
      <c r="B426" s="3" t="s">
        <v>22</v>
      </c>
      <c r="C426" s="3" t="s">
        <v>9</v>
      </c>
      <c r="D426" s="4" t="str">
        <f>IFERROR(__xludf.DUMMYFUNCTION("GOOGLETRANSLATE(A426, ""en"", ""zh-CN"")"),"竞争的")</f>
        <v>竞争的</v>
      </c>
    </row>
    <row r="427" ht="15.75" customHeight="1">
      <c r="A427" s="3" t="s">
        <v>444</v>
      </c>
      <c r="B427" s="3" t="s">
        <v>8</v>
      </c>
      <c r="C427" s="3" t="s">
        <v>13</v>
      </c>
      <c r="D427" s="4" t="str">
        <f>IFERROR(__xludf.DUMMYFUNCTION("GOOGLETRANSLATE(A427, ""en"", ""zh-CN"")"),"生物")</f>
        <v>生物</v>
      </c>
    </row>
    <row r="428" ht="15.75" customHeight="1">
      <c r="A428" s="3" t="s">
        <v>445</v>
      </c>
      <c r="B428" s="3" t="s">
        <v>8</v>
      </c>
      <c r="C428" s="3" t="s">
        <v>9</v>
      </c>
      <c r="D428" s="4" t="str">
        <f>IFERROR(__xludf.DUMMYFUNCTION("GOOGLETRANSLATE(A428, ""en"", ""zh-CN"")"),"章节")</f>
        <v>章节</v>
      </c>
    </row>
    <row r="429" ht="15.75" customHeight="1">
      <c r="A429" s="3" t="s">
        <v>446</v>
      </c>
      <c r="B429" s="3" t="s">
        <v>8</v>
      </c>
      <c r="C429" s="3" t="s">
        <v>9</v>
      </c>
      <c r="D429" s="4" t="str">
        <f>IFERROR(__xludf.DUMMYFUNCTION("GOOGLETRANSLATE(A429, ""en"", ""zh-CN"")"),"竞争者")</f>
        <v>竞争者</v>
      </c>
    </row>
    <row r="430" ht="15.75" customHeight="1">
      <c r="A430" s="3" t="s">
        <v>447</v>
      </c>
      <c r="B430" s="3" t="s">
        <v>8</v>
      </c>
      <c r="C430" s="3" t="s">
        <v>16</v>
      </c>
      <c r="D430" s="4" t="str">
        <f>IFERROR(__xludf.DUMMYFUNCTION("GOOGLETRANSLATE(A430, ""en"", ""zh-CN"")"),"特点")</f>
        <v>特点</v>
      </c>
    </row>
    <row r="431" ht="15.75" customHeight="1">
      <c r="A431" s="3" t="s">
        <v>448</v>
      </c>
      <c r="B431" s="3" t="s">
        <v>12</v>
      </c>
      <c r="C431" s="3" t="s">
        <v>16</v>
      </c>
      <c r="D431" s="4" t="str">
        <f>IFERROR(__xludf.DUMMYFUNCTION("GOOGLETRANSLATE(A431, ""en"", ""zh-CN"")"),"抱怨")</f>
        <v>抱怨</v>
      </c>
    </row>
    <row r="432" ht="15.75" customHeight="1">
      <c r="A432" s="3" t="s">
        <v>449</v>
      </c>
      <c r="B432" s="3" t="s">
        <v>8</v>
      </c>
      <c r="C432" s="3" t="s">
        <v>13</v>
      </c>
      <c r="D432" s="4" t="str">
        <f>IFERROR(__xludf.DUMMYFUNCTION("GOOGLETRANSLATE(A432, ""en"", ""zh-CN"")"),"全体人员")</f>
        <v>全体人员</v>
      </c>
    </row>
    <row r="433" ht="15.75" customHeight="1">
      <c r="A433" s="3" t="s">
        <v>450</v>
      </c>
      <c r="B433" s="3" t="s">
        <v>8</v>
      </c>
      <c r="C433" s="3" t="s">
        <v>9</v>
      </c>
      <c r="D433" s="4" t="str">
        <f>IFERROR(__xludf.DUMMYFUNCTION("GOOGLETRANSLATE(A433, ""en"", ""zh-CN"")"),"抱怨")</f>
        <v>抱怨</v>
      </c>
    </row>
    <row r="434" ht="15.75" customHeight="1">
      <c r="A434" s="3" t="s">
        <v>451</v>
      </c>
      <c r="B434" s="3" t="s">
        <v>8</v>
      </c>
      <c r="C434" s="3" t="s">
        <v>16</v>
      </c>
      <c r="D434" s="4" t="str">
        <f>IFERROR(__xludf.DUMMYFUNCTION("GOOGLETRANSLATE(A434, ""en"", ""zh-CN"")"),"犯罪")</f>
        <v>犯罪</v>
      </c>
    </row>
    <row r="435" ht="15.75" customHeight="1">
      <c r="A435" s="3" t="s">
        <v>452</v>
      </c>
      <c r="B435" s="3" t="s">
        <v>8</v>
      </c>
      <c r="C435" s="3" t="s">
        <v>16</v>
      </c>
      <c r="D435" s="4" t="str">
        <f>IFERROR(__xludf.DUMMYFUNCTION("GOOGLETRANSLATE(A435, ""en"", ""zh-CN"")"),"慈善机构")</f>
        <v>慈善机构</v>
      </c>
    </row>
    <row r="436" ht="15.75" customHeight="1">
      <c r="A436" s="3" t="s">
        <v>453</v>
      </c>
      <c r="B436" s="3" t="s">
        <v>20</v>
      </c>
      <c r="C436" s="3" t="s">
        <v>16</v>
      </c>
      <c r="D436" s="4" t="str">
        <f>IFERROR(__xludf.DUMMYFUNCTION("GOOGLETRANSLATE(A436, ""en"", ""zh-CN"")"),"完全地")</f>
        <v>完全地</v>
      </c>
    </row>
    <row r="437" ht="15.75" customHeight="1">
      <c r="A437" s="3" t="s">
        <v>454</v>
      </c>
      <c r="B437" s="3" t="s">
        <v>8</v>
      </c>
      <c r="C437" s="3" t="s">
        <v>13</v>
      </c>
      <c r="D437" s="4" t="str">
        <f>IFERROR(__xludf.DUMMYFUNCTION("GOOGLETRANSLATE(A437, ""en"", ""zh-CN"")"),"危机")</f>
        <v>危机</v>
      </c>
    </row>
    <row r="438" ht="15.75" customHeight="1">
      <c r="A438" s="3" t="s">
        <v>455</v>
      </c>
      <c r="B438" s="3" t="s">
        <v>8</v>
      </c>
      <c r="C438" s="3" t="s">
        <v>13</v>
      </c>
      <c r="D438" s="4" t="str">
        <f>IFERROR(__xludf.DUMMYFUNCTION("GOOGLETRANSLATE(A438, ""en"", ""zh-CN"")"),"标准")</f>
        <v>标准</v>
      </c>
    </row>
    <row r="439" ht="15.75" customHeight="1">
      <c r="A439" s="3" t="s">
        <v>456</v>
      </c>
      <c r="B439" s="3" t="s">
        <v>22</v>
      </c>
      <c r="C439" s="3" t="s">
        <v>13</v>
      </c>
      <c r="D439" s="4" t="str">
        <f>IFERROR(__xludf.DUMMYFUNCTION("GOOGLETRANSLATE(A439, ""en"", ""zh-CN"")"),"复杂的")</f>
        <v>复杂的</v>
      </c>
    </row>
    <row r="440" ht="15.75" customHeight="1">
      <c r="A440" s="3" t="s">
        <v>457</v>
      </c>
      <c r="B440" s="3" t="s">
        <v>8</v>
      </c>
      <c r="C440" s="3" t="s">
        <v>13</v>
      </c>
      <c r="D440" s="4" t="str">
        <f>IFERROR(__xludf.DUMMYFUNCTION("GOOGLETRANSLATE(A440, ""en"", ""zh-CN"")"),"评论家")</f>
        <v>评论家</v>
      </c>
    </row>
    <row r="441" ht="15.75" customHeight="1">
      <c r="A441" s="3" t="s">
        <v>458</v>
      </c>
      <c r="B441" s="3" t="s">
        <v>8</v>
      </c>
      <c r="C441" s="3" t="s">
        <v>13</v>
      </c>
      <c r="D441" s="4" t="str">
        <f>IFERROR(__xludf.DUMMYFUNCTION("GOOGLETRANSLATE(A441, ""en"", ""zh-CN"")"),"成分")</f>
        <v>成分</v>
      </c>
    </row>
    <row r="442" ht="15.75" customHeight="1">
      <c r="A442" s="3" t="s">
        <v>459</v>
      </c>
      <c r="B442" s="3" t="s">
        <v>22</v>
      </c>
      <c r="C442" s="3" t="s">
        <v>13</v>
      </c>
      <c r="D442" s="4" t="str">
        <f>IFERROR(__xludf.DUMMYFUNCTION("GOOGLETRANSLATE(A442, ""en"", ""zh-CN"")"),"批判的")</f>
        <v>批判的</v>
      </c>
    </row>
    <row r="443" ht="15.75" customHeight="1">
      <c r="A443" s="3" t="s">
        <v>460</v>
      </c>
      <c r="B443" s="3" t="s">
        <v>8</v>
      </c>
      <c r="C443" s="3" t="s">
        <v>6</v>
      </c>
      <c r="D443" s="4" t="str">
        <f>IFERROR(__xludf.DUMMYFUNCTION("GOOGLETRANSLATE(A443, ""en"", ""zh-CN"")"),"电脑")</f>
        <v>电脑</v>
      </c>
    </row>
    <row r="444" ht="15.75" customHeight="1">
      <c r="A444" s="3" t="s">
        <v>461</v>
      </c>
      <c r="B444" s="3" t="s">
        <v>8</v>
      </c>
      <c r="C444" s="3" t="s">
        <v>13</v>
      </c>
      <c r="D444" s="4" t="str">
        <f>IFERROR(__xludf.DUMMYFUNCTION("GOOGLETRANSLATE(A444, ""en"", ""zh-CN"")"),"批评")</f>
        <v>批评</v>
      </c>
    </row>
    <row r="445" ht="15.75" customHeight="1">
      <c r="A445" s="3" t="s">
        <v>462</v>
      </c>
      <c r="B445" s="3" t="s">
        <v>12</v>
      </c>
      <c r="C445" s="3" t="s">
        <v>9</v>
      </c>
      <c r="D445" s="4" t="str">
        <f>IFERROR(__xludf.DUMMYFUNCTION("GOOGLETRANSLATE(A445, ""en"", ""zh-CN"")"),"集中")</f>
        <v>集中</v>
      </c>
    </row>
    <row r="446" ht="15.75" customHeight="1">
      <c r="A446" s="3" t="s">
        <v>463</v>
      </c>
      <c r="B446" s="3" t="s">
        <v>12</v>
      </c>
      <c r="C446" s="3" t="s">
        <v>13</v>
      </c>
      <c r="D446" s="4" t="str">
        <f>IFERROR(__xludf.DUMMYFUNCTION("GOOGLETRANSLATE(A446, ""en"", ""zh-CN"")"),"批评")</f>
        <v>批评</v>
      </c>
    </row>
    <row r="447" ht="15.75" customHeight="1">
      <c r="A447" s="3" t="s">
        <v>464</v>
      </c>
      <c r="B447" s="3" t="s">
        <v>22</v>
      </c>
      <c r="C447" s="3" t="s">
        <v>9</v>
      </c>
      <c r="D447" s="4" t="str">
        <f>IFERROR(__xludf.DUMMYFUNCTION("GOOGLETRANSLATE(A447, ""en"", ""zh-CN"")"),"快乐")</f>
        <v>快乐</v>
      </c>
    </row>
    <row r="448" ht="15.75" customHeight="1">
      <c r="A448" s="3" t="s">
        <v>465</v>
      </c>
      <c r="B448" s="3" t="s">
        <v>8</v>
      </c>
      <c r="C448" s="3" t="s">
        <v>13</v>
      </c>
      <c r="D448" s="4" t="str">
        <f>IFERROR(__xludf.DUMMYFUNCTION("GOOGLETRANSLATE(A448, ""en"", ""zh-CN"")"),"专注")</f>
        <v>专注</v>
      </c>
    </row>
    <row r="449" ht="15.75" customHeight="1">
      <c r="A449" s="3" t="s">
        <v>466</v>
      </c>
      <c r="B449" s="3" t="s">
        <v>8</v>
      </c>
      <c r="C449" s="3" t="s">
        <v>13</v>
      </c>
      <c r="D449" s="4" t="str">
        <f>IFERROR(__xludf.DUMMYFUNCTION("GOOGLETRANSLATE(A449, ""en"", ""zh-CN"")"),"庄稼")</f>
        <v>庄稼</v>
      </c>
    </row>
    <row r="450" ht="15.75" customHeight="1">
      <c r="A450" s="3" t="s">
        <v>467</v>
      </c>
      <c r="B450" s="3" t="s">
        <v>8</v>
      </c>
      <c r="C450" s="3" t="s">
        <v>6</v>
      </c>
      <c r="D450" s="4" t="str">
        <f>IFERROR(__xludf.DUMMYFUNCTION("GOOGLETRANSLATE(A450, ""en"", ""zh-CN"")"),"奶酪")</f>
        <v>奶酪</v>
      </c>
    </row>
    <row r="451" ht="15.75" customHeight="1">
      <c r="A451" s="3" t="s">
        <v>468</v>
      </c>
      <c r="B451" s="3" t="s">
        <v>8</v>
      </c>
      <c r="C451" s="3" t="s">
        <v>13</v>
      </c>
      <c r="D451" s="4" t="str">
        <f>IFERROR(__xludf.DUMMYFUNCTION("GOOGLETRANSLATE(A451, ""en"", ""zh-CN"")"),"概念")</f>
        <v>概念</v>
      </c>
    </row>
    <row r="452" ht="15.75" customHeight="1">
      <c r="A452" s="3" t="s">
        <v>469</v>
      </c>
      <c r="B452" s="3" t="s">
        <v>8</v>
      </c>
      <c r="C452" s="3" t="s">
        <v>16</v>
      </c>
      <c r="D452" s="4" t="str">
        <f>IFERROR(__xludf.DUMMYFUNCTION("GOOGLETRANSLATE(A452, ""en"", ""zh-CN"")"),"厨师")</f>
        <v>厨师</v>
      </c>
    </row>
    <row r="453" ht="15.75" customHeight="1">
      <c r="A453" s="3" t="s">
        <v>470</v>
      </c>
      <c r="B453" s="3" t="s">
        <v>8</v>
      </c>
      <c r="C453" s="3" t="s">
        <v>16</v>
      </c>
      <c r="D453" s="4" t="str">
        <f>IFERROR(__xludf.DUMMYFUNCTION("GOOGLETRANSLATE(A453, ""en"", ""zh-CN"")"),"人群")</f>
        <v>人群</v>
      </c>
    </row>
    <row r="454" ht="15.75" customHeight="1">
      <c r="A454" s="3" t="s">
        <v>471</v>
      </c>
      <c r="B454" s="3" t="s">
        <v>22</v>
      </c>
      <c r="C454" s="3" t="s">
        <v>13</v>
      </c>
      <c r="D454" s="4" t="str">
        <f>IFERROR(__xludf.DUMMYFUNCTION("GOOGLETRANSLATE(A454, ""en"", ""zh-CN"")"),"担心的")</f>
        <v>担心的</v>
      </c>
    </row>
    <row r="455" ht="15.75" customHeight="1">
      <c r="A455" s="3" t="s">
        <v>472</v>
      </c>
      <c r="B455" s="3" t="s">
        <v>22</v>
      </c>
      <c r="C455" s="3" t="s">
        <v>16</v>
      </c>
      <c r="D455" s="4" t="str">
        <f>IFERROR(__xludf.DUMMYFUNCTION("GOOGLETRANSLATE(A455, ""en"", ""zh-CN"")"),"挤")</f>
        <v>挤</v>
      </c>
    </row>
    <row r="456" ht="15.75" customHeight="1">
      <c r="A456" s="3" t="s">
        <v>473</v>
      </c>
      <c r="B456" s="3" t="s">
        <v>8</v>
      </c>
      <c r="C456" s="3" t="s">
        <v>16</v>
      </c>
      <c r="D456" s="4" t="str">
        <f>IFERROR(__xludf.DUMMYFUNCTION("GOOGLETRANSLATE(A456, ""en"", ""zh-CN"")"),"化学")</f>
        <v>化学</v>
      </c>
    </row>
    <row r="457" ht="15.75" customHeight="1">
      <c r="A457" s="3" t="s">
        <v>474</v>
      </c>
      <c r="B457" s="3" t="s">
        <v>8</v>
      </c>
      <c r="C457" s="3" t="s">
        <v>6</v>
      </c>
      <c r="D457" s="4" t="str">
        <f>IFERROR(__xludf.DUMMYFUNCTION("GOOGLETRANSLATE(A457, ""en"", ""zh-CN"")"),"音乐会")</f>
        <v>音乐会</v>
      </c>
    </row>
    <row r="458" ht="15.75" customHeight="1">
      <c r="A458" s="3" t="s">
        <v>475</v>
      </c>
      <c r="B458" s="3" t="s">
        <v>22</v>
      </c>
      <c r="C458" s="3" t="s">
        <v>13</v>
      </c>
      <c r="D458" s="4" t="str">
        <f>IFERROR(__xludf.DUMMYFUNCTION("GOOGLETRANSLATE(A458, ""en"", ""zh-CN"")"),"至关重要的")</f>
        <v>至关重要的</v>
      </c>
    </row>
    <row r="459" ht="15.75" customHeight="1">
      <c r="A459" s="3" t="s">
        <v>476</v>
      </c>
      <c r="B459" s="3" t="s">
        <v>8</v>
      </c>
      <c r="C459" s="3" t="s">
        <v>9</v>
      </c>
      <c r="D459" s="4" t="str">
        <f>IFERROR(__xludf.DUMMYFUNCTION("GOOGLETRANSLATE(A459, ""en"", ""zh-CN"")"),"胸部")</f>
        <v>胸部</v>
      </c>
    </row>
    <row r="460" ht="15.75" customHeight="1">
      <c r="A460" s="3" t="s">
        <v>477</v>
      </c>
      <c r="B460" s="3" t="s">
        <v>12</v>
      </c>
      <c r="C460" s="3" t="s">
        <v>9</v>
      </c>
      <c r="D460" s="4" t="str">
        <f>IFERROR(__xludf.DUMMYFUNCTION("GOOGLETRANSLATE(A460, ""en"", ""zh-CN"")"),"得出结论")</f>
        <v>得出结论</v>
      </c>
    </row>
    <row r="461" ht="15.75" customHeight="1">
      <c r="A461" s="3" t="s">
        <v>478</v>
      </c>
      <c r="B461" s="3" t="s">
        <v>22</v>
      </c>
      <c r="C461" s="3" t="s">
        <v>9</v>
      </c>
      <c r="D461" s="4" t="str">
        <f>IFERROR(__xludf.DUMMYFUNCTION("GOOGLETRANSLATE(A461, ""en"", ""zh-CN"")"),"残忍的")</f>
        <v>残忍的</v>
      </c>
    </row>
    <row r="462" ht="15.75" customHeight="1">
      <c r="A462" s="3" t="s">
        <v>479</v>
      </c>
      <c r="B462" s="3" t="s">
        <v>8</v>
      </c>
      <c r="C462" s="3" t="s">
        <v>6</v>
      </c>
      <c r="D462" s="4" t="str">
        <f>IFERROR(__xludf.DUMMYFUNCTION("GOOGLETRANSLATE(A462, ""en"", ""zh-CN"")"),"鸡")</f>
        <v>鸡</v>
      </c>
    </row>
    <row r="463" ht="15.75" customHeight="1">
      <c r="A463" s="3" t="s">
        <v>480</v>
      </c>
      <c r="B463" s="3" t="s">
        <v>8</v>
      </c>
      <c r="C463" s="3" t="s">
        <v>9</v>
      </c>
      <c r="D463" s="4" t="str">
        <f>IFERROR(__xludf.DUMMYFUNCTION("GOOGLETRANSLATE(A463, ""en"", ""zh-CN"")"),"结论")</f>
        <v>结论</v>
      </c>
    </row>
    <row r="464" ht="15.75" customHeight="1">
      <c r="A464" s="3" t="s">
        <v>481</v>
      </c>
      <c r="B464" s="3" t="s">
        <v>8</v>
      </c>
      <c r="C464" s="3" t="s">
        <v>16</v>
      </c>
      <c r="D464" s="4" t="str">
        <f>IFERROR(__xludf.DUMMYFUNCTION("GOOGLETRANSLATE(A464, ""en"", ""zh-CN"")"),"状况")</f>
        <v>状况</v>
      </c>
    </row>
    <row r="465" ht="15.75" customHeight="1">
      <c r="A465" s="3" t="s">
        <v>482</v>
      </c>
      <c r="B465" s="3" t="s">
        <v>22</v>
      </c>
      <c r="C465" s="3" t="s">
        <v>9</v>
      </c>
      <c r="D465" s="4" t="str">
        <f>IFERROR(__xludf.DUMMYFUNCTION("GOOGLETRANSLATE(A465, ""en"", ""zh-CN"")"),"文化")</f>
        <v>文化</v>
      </c>
    </row>
    <row r="466" ht="15.75" customHeight="1">
      <c r="A466" s="3" t="s">
        <v>483</v>
      </c>
      <c r="B466" s="3" t="s">
        <v>8</v>
      </c>
      <c r="C466" s="3" t="s">
        <v>6</v>
      </c>
      <c r="D466" s="4" t="str">
        <f>IFERROR(__xludf.DUMMYFUNCTION("GOOGLETRANSLATE(A466, ""en"", ""zh-CN"")"),"孩子")</f>
        <v>孩子</v>
      </c>
    </row>
    <row r="467" ht="15.75" customHeight="1">
      <c r="A467" s="3" t="s">
        <v>484</v>
      </c>
      <c r="B467" s="3" t="s">
        <v>8</v>
      </c>
      <c r="C467" s="3" t="s">
        <v>6</v>
      </c>
      <c r="D467" s="4" t="str">
        <f>IFERROR(__xludf.DUMMYFUNCTION("GOOGLETRANSLATE(A467, ""en"", ""zh-CN"")"),"文化")</f>
        <v>文化</v>
      </c>
    </row>
    <row r="468" ht="15.75" customHeight="1">
      <c r="A468" s="3" t="s">
        <v>485</v>
      </c>
      <c r="B468" s="3" t="s">
        <v>8</v>
      </c>
      <c r="C468" s="3" t="s">
        <v>9</v>
      </c>
      <c r="D468" s="4" t="str">
        <f>IFERROR(__xludf.DUMMYFUNCTION("GOOGLETRANSLATE(A468, ""en"", ""zh-CN"")"),"童年")</f>
        <v>童年</v>
      </c>
    </row>
    <row r="469" ht="15.75" customHeight="1">
      <c r="A469" s="3" t="s">
        <v>486</v>
      </c>
      <c r="B469" s="3" t="s">
        <v>8</v>
      </c>
      <c r="C469" s="3" t="s">
        <v>16</v>
      </c>
      <c r="D469" s="4" t="str">
        <f>IFERROR(__xludf.DUMMYFUNCTION("GOOGLETRANSLATE(A469, ""en"", ""zh-CN"")"),"会议")</f>
        <v>会议</v>
      </c>
    </row>
    <row r="470" ht="15.75" customHeight="1">
      <c r="A470" s="3" t="s">
        <v>487</v>
      </c>
      <c r="B470" s="3" t="s">
        <v>8</v>
      </c>
      <c r="C470" s="3" t="s">
        <v>6</v>
      </c>
      <c r="D470" s="4" t="str">
        <f>IFERROR(__xludf.DUMMYFUNCTION("GOOGLETRANSLATE(A470, ""en"", ""zh-CN"")"),"杯子")</f>
        <v>杯子</v>
      </c>
    </row>
    <row r="471" ht="15.75" customHeight="1">
      <c r="A471" s="3" t="s">
        <v>488</v>
      </c>
      <c r="B471" s="3" t="s">
        <v>8</v>
      </c>
      <c r="C471" s="3" t="s">
        <v>16</v>
      </c>
      <c r="D471" s="4" t="str">
        <f>IFERROR(__xludf.DUMMYFUNCTION("GOOGLETRANSLATE(A471, ""en"", ""zh-CN"")"),"芯片")</f>
        <v>芯片</v>
      </c>
    </row>
    <row r="472" ht="15.75" customHeight="1">
      <c r="A472" s="3" t="s">
        <v>489</v>
      </c>
      <c r="B472" s="3" t="s">
        <v>8</v>
      </c>
      <c r="C472" s="3" t="s">
        <v>13</v>
      </c>
      <c r="D472" s="4" t="str">
        <f>IFERROR(__xludf.DUMMYFUNCTION("GOOGLETRANSLATE(A472, ""en"", ""zh-CN"")"),"信心")</f>
        <v>信心</v>
      </c>
    </row>
    <row r="473" ht="15.75" customHeight="1">
      <c r="A473" s="3" t="s">
        <v>490</v>
      </c>
      <c r="B473" s="3" t="s">
        <v>8</v>
      </c>
      <c r="C473" s="3" t="s">
        <v>16</v>
      </c>
      <c r="D473" s="4" t="str">
        <f>IFERROR(__xludf.DUMMYFUNCTION("GOOGLETRANSLATE(A473, ""en"", ""zh-CN"")"),"橱柜")</f>
        <v>橱柜</v>
      </c>
    </row>
    <row r="474" ht="15.75" customHeight="1">
      <c r="A474" s="3" t="s">
        <v>491</v>
      </c>
      <c r="B474" s="3" t="s">
        <v>8</v>
      </c>
      <c r="C474" s="3" t="s">
        <v>6</v>
      </c>
      <c r="D474" s="4" t="str">
        <f>IFERROR(__xludf.DUMMYFUNCTION("GOOGLETRANSLATE(A474, ""en"", ""zh-CN"")"),"巧克力")</f>
        <v>巧克力</v>
      </c>
    </row>
    <row r="475" ht="15.75" customHeight="1">
      <c r="A475" s="3" t="s">
        <v>492</v>
      </c>
      <c r="B475" s="3" t="s">
        <v>22</v>
      </c>
      <c r="C475" s="3" t="s">
        <v>9</v>
      </c>
      <c r="D475" s="4" t="str">
        <f>IFERROR(__xludf.DUMMYFUNCTION("GOOGLETRANSLATE(A475, ""en"", ""zh-CN"")"),"自信的")</f>
        <v>自信的</v>
      </c>
    </row>
    <row r="476" ht="15.75" customHeight="1">
      <c r="A476" s="3" t="s">
        <v>493</v>
      </c>
      <c r="B476" s="3" t="s">
        <v>8</v>
      </c>
      <c r="C476" s="3" t="s">
        <v>16</v>
      </c>
      <c r="D476" s="4" t="str">
        <f>IFERROR(__xludf.DUMMYFUNCTION("GOOGLETRANSLATE(A476, ""en"", ""zh-CN"")"),"选择")</f>
        <v>选择</v>
      </c>
    </row>
    <row r="477" ht="15.75" customHeight="1">
      <c r="A477" s="3" t="s">
        <v>494</v>
      </c>
      <c r="B477" s="3" t="s">
        <v>12</v>
      </c>
      <c r="C477" s="3" t="s">
        <v>9</v>
      </c>
      <c r="D477" s="4" t="str">
        <f>IFERROR(__xludf.DUMMYFUNCTION("GOOGLETRANSLATE(A477, ""en"", ""zh-CN"")"),"确认")</f>
        <v>确认</v>
      </c>
    </row>
    <row r="478" ht="15.75" customHeight="1">
      <c r="A478" s="3" t="s">
        <v>495</v>
      </c>
      <c r="B478" s="3" t="s">
        <v>22</v>
      </c>
      <c r="C478" s="3" t="s">
        <v>16</v>
      </c>
      <c r="D478" s="4" t="str">
        <f>IFERROR(__xludf.DUMMYFUNCTION("GOOGLETRANSLATE(A478, ""en"", ""zh-CN"")"),"卷曲")</f>
        <v>卷曲</v>
      </c>
    </row>
    <row r="479" ht="15.75" customHeight="1">
      <c r="A479" s="3" t="s">
        <v>496</v>
      </c>
      <c r="B479" s="3" t="s">
        <v>12</v>
      </c>
      <c r="C479" s="3" t="s">
        <v>6</v>
      </c>
      <c r="D479" s="4" t="str">
        <f>IFERROR(__xludf.DUMMYFUNCTION("GOOGLETRANSLATE(A479, ""en"", ""zh-CN"")"),"选择")</f>
        <v>选择</v>
      </c>
    </row>
    <row r="480" ht="15.75" customHeight="1">
      <c r="A480" s="3" t="s">
        <v>497</v>
      </c>
      <c r="B480" s="3" t="s">
        <v>8</v>
      </c>
      <c r="C480" s="3" t="s">
        <v>9</v>
      </c>
      <c r="D480" s="4" t="str">
        <f>IFERROR(__xludf.DUMMYFUNCTION("GOOGLETRANSLATE(A480, ""en"", ""zh-CN"")"),"货币")</f>
        <v>货币</v>
      </c>
    </row>
    <row r="481" ht="15.75" customHeight="1">
      <c r="A481" s="3" t="s">
        <v>498</v>
      </c>
      <c r="B481" s="3" t="s">
        <v>8</v>
      </c>
      <c r="C481" s="3" t="s">
        <v>16</v>
      </c>
      <c r="D481" s="4" t="str">
        <f>IFERROR(__xludf.DUMMYFUNCTION("GOOGLETRANSLATE(A481, ""en"", ""zh-CN"")"),"教会")</f>
        <v>教会</v>
      </c>
    </row>
    <row r="482" ht="15.75" customHeight="1">
      <c r="A482" s="3" t="s">
        <v>499</v>
      </c>
      <c r="B482" s="3" t="s">
        <v>12</v>
      </c>
      <c r="C482" s="3" t="s">
        <v>9</v>
      </c>
      <c r="D482" s="4" t="str">
        <f>IFERROR(__xludf.DUMMYFUNCTION("GOOGLETRANSLATE(A482, ""en"", ""zh-CN"")"),"迷惑")</f>
        <v>迷惑</v>
      </c>
    </row>
    <row r="483" ht="15.75" customHeight="1">
      <c r="A483" s="3" t="s">
        <v>500</v>
      </c>
      <c r="B483" s="3" t="s">
        <v>8</v>
      </c>
      <c r="C483" s="3" t="s">
        <v>16</v>
      </c>
      <c r="D483" s="4" t="str">
        <f>IFERROR(__xludf.DUMMYFUNCTION("GOOGLETRANSLATE(A483, ""en"", ""zh-CN"")"),"香烟")</f>
        <v>香烟</v>
      </c>
    </row>
    <row r="484" ht="15.75" customHeight="1">
      <c r="A484" s="3" t="s">
        <v>501</v>
      </c>
      <c r="B484" s="3" t="s">
        <v>22</v>
      </c>
      <c r="C484" s="3" t="s">
        <v>9</v>
      </c>
      <c r="D484" s="4" t="str">
        <f>IFERROR(__xludf.DUMMYFUNCTION("GOOGLETRANSLATE(A484, ""en"", ""zh-CN"")"),"使困惑")</f>
        <v>使困惑</v>
      </c>
    </row>
    <row r="485" ht="15.75" customHeight="1">
      <c r="A485" s="3" t="s">
        <v>502</v>
      </c>
      <c r="B485" s="3" t="s">
        <v>20</v>
      </c>
      <c r="C485" s="3" t="s">
        <v>9</v>
      </c>
      <c r="D485" s="4" t="str">
        <f>IFERROR(__xludf.DUMMYFUNCTION("GOOGLETRANSLATE(A485, ""en"", ""zh-CN"")"),"现在")</f>
        <v>现在</v>
      </c>
    </row>
    <row r="486" ht="15.75" customHeight="1">
      <c r="A486" s="3" t="s">
        <v>503</v>
      </c>
      <c r="B486" s="3" t="s">
        <v>8</v>
      </c>
      <c r="C486" s="3" t="s">
        <v>6</v>
      </c>
      <c r="D486" s="4" t="str">
        <f>IFERROR(__xludf.DUMMYFUNCTION("GOOGLETRANSLATE(A486, ""en"", ""zh-CN"")"),"电影")</f>
        <v>电影</v>
      </c>
    </row>
    <row r="487" ht="15.75" customHeight="1">
      <c r="A487" s="3" t="s">
        <v>504</v>
      </c>
      <c r="B487" s="3" t="s">
        <v>22</v>
      </c>
      <c r="C487" s="3" t="s">
        <v>13</v>
      </c>
      <c r="D487" s="4" t="str">
        <f>IFERROR(__xludf.DUMMYFUNCTION("GOOGLETRANSLATE(A487, ""en"", ""zh-CN"")"),"令人困惑")</f>
        <v>令人困惑</v>
      </c>
    </row>
    <row r="488" ht="15.75" customHeight="1">
      <c r="A488" s="3" t="s">
        <v>505</v>
      </c>
      <c r="B488" s="3" t="s">
        <v>8</v>
      </c>
      <c r="C488" s="3" t="s">
        <v>9</v>
      </c>
      <c r="D488" s="4" t="str">
        <f>IFERROR(__xludf.DUMMYFUNCTION("GOOGLETRANSLATE(A488, ""en"", ""zh-CN"")"),"窗帘")</f>
        <v>窗帘</v>
      </c>
    </row>
    <row r="489" ht="15.75" customHeight="1">
      <c r="A489" s="3" t="s">
        <v>506</v>
      </c>
      <c r="B489" s="3" t="s">
        <v>12</v>
      </c>
      <c r="C489" s="3" t="s">
        <v>16</v>
      </c>
      <c r="D489" s="4" t="str">
        <f>IFERROR(__xludf.DUMMYFUNCTION("GOOGLETRANSLATE(A489, ""en"", ""zh-CN"")"),"连接")</f>
        <v>连接</v>
      </c>
    </row>
    <row r="490" ht="15.75" customHeight="1">
      <c r="A490" s="3" t="s">
        <v>507</v>
      </c>
      <c r="B490" s="3" t="s">
        <v>8</v>
      </c>
      <c r="C490" s="3" t="s">
        <v>13</v>
      </c>
      <c r="D490" s="4" t="str">
        <f>IFERROR(__xludf.DUMMYFUNCTION("GOOGLETRANSLATE(A490, ""en"", ""zh-CN"")"),"环境")</f>
        <v>环境</v>
      </c>
    </row>
    <row r="491" ht="15.75" customHeight="1">
      <c r="A491" s="3" t="s">
        <v>508</v>
      </c>
      <c r="B491" s="3" t="s">
        <v>22</v>
      </c>
      <c r="C491" s="3" t="s">
        <v>16</v>
      </c>
      <c r="D491" s="4" t="str">
        <f>IFERROR(__xludf.DUMMYFUNCTION("GOOGLETRANSLATE(A491, ""en"", ""zh-CN"")"),"连接的")</f>
        <v>连接的</v>
      </c>
    </row>
    <row r="492" ht="15.75" customHeight="1">
      <c r="A492" s="3" t="s">
        <v>509</v>
      </c>
      <c r="B492" s="3" t="s">
        <v>22</v>
      </c>
      <c r="C492" s="3" t="s">
        <v>13</v>
      </c>
      <c r="D492" s="4" t="str">
        <f>IFERROR(__xludf.DUMMYFUNCTION("GOOGLETRANSLATE(A492, ""en"", ""zh-CN"")"),"弯曲")</f>
        <v>弯曲</v>
      </c>
    </row>
    <row r="493" ht="15.75" customHeight="1">
      <c r="A493" s="3" t="s">
        <v>510</v>
      </c>
      <c r="B493" s="3" t="s">
        <v>12</v>
      </c>
      <c r="C493" s="3" t="s">
        <v>13</v>
      </c>
      <c r="D493" s="4" t="str">
        <f>IFERROR(__xludf.DUMMYFUNCTION("GOOGLETRANSLATE(A493, ""en"", ""zh-CN"")"),"引用")</f>
        <v>引用</v>
      </c>
    </row>
    <row r="494" ht="15.75" customHeight="1">
      <c r="A494" s="3" t="s">
        <v>511</v>
      </c>
      <c r="B494" s="3" t="s">
        <v>8</v>
      </c>
      <c r="C494" s="3" t="s">
        <v>9</v>
      </c>
      <c r="D494" s="4" t="str">
        <f>IFERROR(__xludf.DUMMYFUNCTION("GOOGLETRANSLATE(A494, ""en"", ""zh-CN"")"),"联系")</f>
        <v>联系</v>
      </c>
    </row>
    <row r="495" ht="15.75" customHeight="1">
      <c r="A495" s="3" t="s">
        <v>512</v>
      </c>
      <c r="B495" s="3" t="s">
        <v>8</v>
      </c>
      <c r="C495" s="3" t="s">
        <v>9</v>
      </c>
      <c r="D495" s="4" t="str">
        <f>IFERROR(__xludf.DUMMYFUNCTION("GOOGLETRANSLATE(A495, ""en"", ""zh-CN"")"),"风俗")</f>
        <v>风俗</v>
      </c>
    </row>
    <row r="496" ht="15.75" customHeight="1">
      <c r="A496" s="3" t="s">
        <v>513</v>
      </c>
      <c r="B496" s="3" t="s">
        <v>8</v>
      </c>
      <c r="C496" s="3" t="s">
        <v>13</v>
      </c>
      <c r="D496" s="4" t="str">
        <f>IFERROR(__xludf.DUMMYFUNCTION("GOOGLETRANSLATE(A496, ""en"", ""zh-CN"")"),"公民")</f>
        <v>公民</v>
      </c>
    </row>
    <row r="497" ht="15.75" customHeight="1">
      <c r="A497" s="3" t="s">
        <v>514</v>
      </c>
      <c r="B497" s="3" t="s">
        <v>22</v>
      </c>
      <c r="C497" s="3" t="s">
        <v>13</v>
      </c>
      <c r="D497" s="4" t="str">
        <f>IFERROR(__xludf.DUMMYFUNCTION("GOOGLETRANSLATE(A497, ""en"", ""zh-CN"")"),"有意识的")</f>
        <v>有意识的</v>
      </c>
    </row>
    <row r="498" ht="15.75" customHeight="1">
      <c r="A498" s="3" t="s">
        <v>515</v>
      </c>
      <c r="B498" s="3" t="s">
        <v>8</v>
      </c>
      <c r="C498" s="3" t="s">
        <v>6</v>
      </c>
      <c r="D498" s="4" t="str">
        <f>IFERROR(__xludf.DUMMYFUNCTION("GOOGLETRANSLATE(A498, ""en"", ""zh-CN"")"),"顾客")</f>
        <v>顾客</v>
      </c>
    </row>
    <row r="499" ht="15.75" customHeight="1">
      <c r="A499" s="3" t="s">
        <v>516</v>
      </c>
      <c r="B499" s="3" t="s">
        <v>8</v>
      </c>
      <c r="C499" s="3" t="s">
        <v>6</v>
      </c>
      <c r="D499" s="4" t="str">
        <f>IFERROR(__xludf.DUMMYFUNCTION("GOOGLETRANSLATE(A499, ""en"", ""zh-CN"")"),"城市")</f>
        <v>城市</v>
      </c>
    </row>
    <row r="500" ht="15.75" customHeight="1">
      <c r="A500" s="3" t="s">
        <v>517</v>
      </c>
      <c r="B500" s="3" t="s">
        <v>8</v>
      </c>
      <c r="C500" s="3" t="s">
        <v>9</v>
      </c>
      <c r="D500" s="4" t="str">
        <f>IFERROR(__xludf.DUMMYFUNCTION("GOOGLETRANSLATE(A500, ""en"", ""zh-CN"")"),"结果")</f>
        <v>结果</v>
      </c>
    </row>
    <row r="501" ht="15.75" customHeight="1">
      <c r="A501" s="3" t="s">
        <v>518</v>
      </c>
      <c r="B501" s="3" t="s">
        <v>22</v>
      </c>
      <c r="C501" s="3" t="s">
        <v>13</v>
      </c>
      <c r="D501" s="4" t="str">
        <f>IFERROR(__xludf.DUMMYFUNCTION("GOOGLETRANSLATE(A501, ""en"", ""zh-CN"")"),"民事")</f>
        <v>民事</v>
      </c>
    </row>
    <row r="502" ht="15.75" customHeight="1">
      <c r="A502" s="3" t="s">
        <v>519</v>
      </c>
      <c r="B502" s="3" t="s">
        <v>12</v>
      </c>
      <c r="C502" s="3" t="s">
        <v>16</v>
      </c>
      <c r="D502" s="4" t="str">
        <f>IFERROR(__xludf.DUMMYFUNCTION("GOOGLETRANSLATE(A502, ""en"", ""zh-CN"")"),"考虑")</f>
        <v>考虑</v>
      </c>
    </row>
    <row r="503" ht="15.75" customHeight="1">
      <c r="A503" s="3" t="s">
        <v>520</v>
      </c>
      <c r="B503" s="3" t="s">
        <v>8</v>
      </c>
      <c r="C503" s="3" t="s">
        <v>6</v>
      </c>
      <c r="D503" s="4" t="str">
        <f>IFERROR(__xludf.DUMMYFUNCTION("GOOGLETRANSLATE(A503, ""en"", ""zh-CN"")"),"班级")</f>
        <v>班级</v>
      </c>
    </row>
    <row r="504" ht="15.75" customHeight="1">
      <c r="A504" s="3" t="s">
        <v>521</v>
      </c>
      <c r="B504" s="3" t="s">
        <v>8</v>
      </c>
      <c r="C504" s="3" t="s">
        <v>13</v>
      </c>
      <c r="D504" s="4" t="str">
        <f>IFERROR(__xludf.DUMMYFUNCTION("GOOGLETRANSLATE(A504, ""en"", ""zh-CN"")"),"考虑")</f>
        <v>考虑</v>
      </c>
    </row>
    <row r="505" ht="15.75" customHeight="1">
      <c r="A505" s="3" t="s">
        <v>522</v>
      </c>
      <c r="B505" s="3" t="s">
        <v>8</v>
      </c>
      <c r="C505" s="3" t="s">
        <v>6</v>
      </c>
      <c r="D505" s="4" t="str">
        <f>IFERROR(__xludf.DUMMYFUNCTION("GOOGLETRANSLATE(A505, ""en"", ""zh-CN"")"),"爸爸")</f>
        <v>爸爸</v>
      </c>
    </row>
    <row r="506" ht="15.75" customHeight="1">
      <c r="A506" s="3" t="s">
        <v>523</v>
      </c>
      <c r="B506" s="3" t="s">
        <v>22</v>
      </c>
      <c r="C506" s="3" t="s">
        <v>13</v>
      </c>
      <c r="D506" s="4" t="str">
        <f>IFERROR(__xludf.DUMMYFUNCTION("GOOGLETRANSLATE(A506, ""en"", ""zh-CN"")"),"压抑")</f>
        <v>压抑</v>
      </c>
    </row>
    <row r="507" ht="15.75" customHeight="1">
      <c r="A507" s="3" t="s">
        <v>524</v>
      </c>
      <c r="B507" s="3" t="s">
        <v>12</v>
      </c>
      <c r="C507" s="3" t="s">
        <v>6</v>
      </c>
      <c r="D507" s="4" t="str">
        <f>IFERROR(__xludf.DUMMYFUNCTION("GOOGLETRANSLATE(A507, ""en"", ""zh-CN"")"),"讨论")</f>
        <v>讨论</v>
      </c>
    </row>
    <row r="508" ht="15.75" customHeight="1">
      <c r="A508" s="3" t="s">
        <v>525</v>
      </c>
      <c r="B508" s="3" t="s">
        <v>8</v>
      </c>
      <c r="C508" s="3" t="s">
        <v>13</v>
      </c>
      <c r="D508" s="4" t="str">
        <f>IFERROR(__xludf.DUMMYFUNCTION("GOOGLETRANSLATE(A508, ""en"", ""zh-CN"")"),"深度")</f>
        <v>深度</v>
      </c>
    </row>
    <row r="509" ht="15.75" customHeight="1">
      <c r="A509" s="3" t="s">
        <v>526</v>
      </c>
      <c r="B509" s="3" t="s">
        <v>8</v>
      </c>
      <c r="C509" s="3" t="s">
        <v>16</v>
      </c>
      <c r="D509" s="4" t="str">
        <f>IFERROR(__xludf.DUMMYFUNCTION("GOOGLETRANSLATE(A509, ""en"", ""zh-CN"")"),"讨论")</f>
        <v>讨论</v>
      </c>
    </row>
    <row r="510" ht="15.75" customHeight="1">
      <c r="A510" s="3" t="s">
        <v>527</v>
      </c>
      <c r="B510" s="3" t="s">
        <v>12</v>
      </c>
      <c r="C510" s="3" t="s">
        <v>6</v>
      </c>
      <c r="D510" s="4" t="str">
        <f>IFERROR(__xludf.DUMMYFUNCTION("GOOGLETRANSLATE(A510, ""en"", ""zh-CN"")"),"描述")</f>
        <v>描述</v>
      </c>
    </row>
    <row r="511" ht="15.75" customHeight="1">
      <c r="A511" s="3" t="s">
        <v>528</v>
      </c>
      <c r="B511" s="3" t="s">
        <v>8</v>
      </c>
      <c r="C511" s="3" t="s">
        <v>16</v>
      </c>
      <c r="D511" s="4" t="str">
        <f>IFERROR(__xludf.DUMMYFUNCTION("GOOGLETRANSLATE(A511, ""en"", ""zh-CN"")"),"疾病")</f>
        <v>疾病</v>
      </c>
    </row>
    <row r="512" ht="15.75" customHeight="1">
      <c r="A512" s="3" t="s">
        <v>529</v>
      </c>
      <c r="B512" s="3" t="s">
        <v>8</v>
      </c>
      <c r="C512" s="3" t="s">
        <v>6</v>
      </c>
      <c r="D512" s="4" t="str">
        <f>IFERROR(__xludf.DUMMYFUNCTION("GOOGLETRANSLATE(A512, ""en"", ""zh-CN"")"),"描述")</f>
        <v>描述</v>
      </c>
    </row>
    <row r="513" ht="15.75" customHeight="1">
      <c r="A513" s="3" t="s">
        <v>530</v>
      </c>
      <c r="B513" s="3" t="s">
        <v>8</v>
      </c>
      <c r="C513" s="3" t="s">
        <v>6</v>
      </c>
      <c r="D513" s="4" t="str">
        <f>IFERROR(__xludf.DUMMYFUNCTION("GOOGLETRANSLATE(A513, ""en"", ""zh-CN"")"),"盘子")</f>
        <v>盘子</v>
      </c>
    </row>
    <row r="514" ht="15.75" customHeight="1">
      <c r="A514" s="3" t="s">
        <v>531</v>
      </c>
      <c r="B514" s="3" t="s">
        <v>8</v>
      </c>
      <c r="C514" s="3" t="s">
        <v>6</v>
      </c>
      <c r="D514" s="4" t="str">
        <f>IFERROR(__xludf.DUMMYFUNCTION("GOOGLETRANSLATE(A514, ""en"", ""zh-CN"")"),"舞蹈家")</f>
        <v>舞蹈家</v>
      </c>
    </row>
    <row r="515" ht="15.75" customHeight="1">
      <c r="A515" s="3" t="s">
        <v>532</v>
      </c>
      <c r="B515" s="3" t="s">
        <v>22</v>
      </c>
      <c r="C515" s="3" t="s">
        <v>13</v>
      </c>
      <c r="D515" s="4" t="str">
        <f>IFERROR(__xludf.DUMMYFUNCTION("GOOGLETRANSLATE(A515, ""en"", ""zh-CN"")"),"不诚实")</f>
        <v>不诚实</v>
      </c>
    </row>
    <row r="516" ht="15.75" customHeight="1">
      <c r="A516" s="3" t="s">
        <v>533</v>
      </c>
      <c r="B516" s="3" t="s">
        <v>8</v>
      </c>
      <c r="C516" s="3" t="s">
        <v>6</v>
      </c>
      <c r="D516" s="4" t="str">
        <f>IFERROR(__xludf.DUMMYFUNCTION("GOOGLETRANSLATE(A516, ""en"", ""zh-CN"")"),"跳舞")</f>
        <v>跳舞</v>
      </c>
    </row>
    <row r="517" ht="15.75" customHeight="1">
      <c r="A517" s="3" t="s">
        <v>534</v>
      </c>
      <c r="B517" s="3" t="s">
        <v>12</v>
      </c>
      <c r="C517" s="3" t="s">
        <v>13</v>
      </c>
      <c r="D517" s="4" t="str">
        <f>IFERROR(__xludf.DUMMYFUNCTION("GOOGLETRANSLATE(A517, ""en"", ""zh-CN"")"),"应得")</f>
        <v>应得</v>
      </c>
    </row>
    <row r="518" ht="15.75" customHeight="1">
      <c r="A518" s="3" t="s">
        <v>535</v>
      </c>
      <c r="B518" s="3" t="s">
        <v>8</v>
      </c>
      <c r="C518" s="3" t="s">
        <v>16</v>
      </c>
      <c r="D518" s="4" t="str">
        <f>IFERROR(__xludf.DUMMYFUNCTION("GOOGLETRANSLATE(A518, ""en"", ""zh-CN"")"),"危险")</f>
        <v>危险</v>
      </c>
    </row>
    <row r="519" ht="15.75" customHeight="1">
      <c r="A519" s="3" t="s">
        <v>536</v>
      </c>
      <c r="B519" s="3" t="s">
        <v>12</v>
      </c>
      <c r="C519" s="3" t="s">
        <v>13</v>
      </c>
      <c r="D519" s="4" t="str">
        <f>IFERROR(__xludf.DUMMYFUNCTION("GOOGLETRANSLATE(A519, ""en"", ""zh-CN"")"),"解雇")</f>
        <v>解雇</v>
      </c>
    </row>
    <row r="520" ht="15.75" customHeight="1">
      <c r="A520" s="3" t="s">
        <v>537</v>
      </c>
      <c r="B520" s="3" t="s">
        <v>22</v>
      </c>
      <c r="C520" s="3" t="s">
        <v>6</v>
      </c>
      <c r="D520" s="4" t="str">
        <f>IFERROR(__xludf.DUMMYFUNCTION("GOOGLETRANSLATE(A520, ""en"", ""zh-CN"")"),"危险的")</f>
        <v>危险的</v>
      </c>
    </row>
    <row r="521" ht="15.75" customHeight="1">
      <c r="A521" s="3" t="s">
        <v>538</v>
      </c>
      <c r="B521" s="3" t="s">
        <v>8</v>
      </c>
      <c r="C521" s="3" t="s">
        <v>16</v>
      </c>
      <c r="D521" s="4" t="str">
        <f>IFERROR(__xludf.DUMMYFUNCTION("GOOGLETRANSLATE(A521, ""en"", ""zh-CN"")"),"设计师")</f>
        <v>设计师</v>
      </c>
    </row>
    <row r="522" ht="15.75" customHeight="1">
      <c r="A522" s="3" t="s">
        <v>539</v>
      </c>
      <c r="B522" s="3" t="s">
        <v>8</v>
      </c>
      <c r="C522" s="3" t="s">
        <v>16</v>
      </c>
      <c r="D522" s="4" t="str">
        <f>IFERROR(__xludf.DUMMYFUNCTION("GOOGLETRANSLATE(A522, ""en"", ""zh-CN"")"),"距离")</f>
        <v>距离</v>
      </c>
    </row>
    <row r="523" ht="15.75" customHeight="1">
      <c r="A523" s="3" t="s">
        <v>540</v>
      </c>
      <c r="B523" s="3" t="s">
        <v>8</v>
      </c>
      <c r="C523" s="3" t="s">
        <v>16</v>
      </c>
      <c r="D523" s="4" t="str">
        <f>IFERROR(__xludf.DUMMYFUNCTION("GOOGLETRANSLATE(A523, ""en"", ""zh-CN"")"),"数据")</f>
        <v>数据</v>
      </c>
    </row>
    <row r="524" ht="15.75" customHeight="1">
      <c r="A524" s="3" t="s">
        <v>541</v>
      </c>
      <c r="B524" s="3" t="s">
        <v>8</v>
      </c>
      <c r="C524" s="3" t="s">
        <v>6</v>
      </c>
      <c r="D524" s="4" t="str">
        <f>IFERROR(__xludf.DUMMYFUNCTION("GOOGLETRANSLATE(A524, ""en"", ""zh-CN"")"),"桌子")</f>
        <v>桌子</v>
      </c>
    </row>
    <row r="525" ht="15.75" customHeight="1">
      <c r="A525" s="3" t="s">
        <v>542</v>
      </c>
      <c r="B525" s="3" t="s">
        <v>12</v>
      </c>
      <c r="C525" s="3" t="s">
        <v>13</v>
      </c>
      <c r="D525" s="4" t="str">
        <f>IFERROR(__xludf.DUMMYFUNCTION("GOOGLETRANSLATE(A525, ""en"", ""zh-CN"")"),"分发")</f>
        <v>分发</v>
      </c>
    </row>
    <row r="526" ht="15.75" customHeight="1">
      <c r="A526" s="3" t="s">
        <v>543</v>
      </c>
      <c r="B526" s="3" t="s">
        <v>22</v>
      </c>
      <c r="C526" s="3" t="s">
        <v>13</v>
      </c>
      <c r="D526" s="4" t="str">
        <f>IFERROR(__xludf.DUMMYFUNCTION("GOOGLETRANSLATE(A526, ""en"", ""zh-CN"")"),"绝望的")</f>
        <v>绝望的</v>
      </c>
    </row>
    <row r="527" ht="15.75" customHeight="1">
      <c r="A527" s="3" t="s">
        <v>544</v>
      </c>
      <c r="B527" s="3" t="s">
        <v>8</v>
      </c>
      <c r="C527" s="3" t="s">
        <v>13</v>
      </c>
      <c r="D527" s="4" t="str">
        <f>IFERROR(__xludf.DUMMYFUNCTION("GOOGLETRANSLATE(A527, ""en"", ""zh-CN"")"),"分配")</f>
        <v>分配</v>
      </c>
    </row>
    <row r="528" ht="15.75" customHeight="1">
      <c r="A528" s="3" t="s">
        <v>545</v>
      </c>
      <c r="B528" s="3" t="s">
        <v>8</v>
      </c>
      <c r="C528" s="3" t="s">
        <v>6</v>
      </c>
      <c r="D528" s="4" t="str">
        <f>IFERROR(__xludf.DUMMYFUNCTION("GOOGLETRANSLATE(A528, ""en"", ""zh-CN"")"),"女儿")</f>
        <v>女儿</v>
      </c>
    </row>
    <row r="529" ht="15.75" customHeight="1">
      <c r="A529" s="3" t="s">
        <v>546</v>
      </c>
      <c r="B529" s="3" t="s">
        <v>88</v>
      </c>
      <c r="C529" s="3" t="s">
        <v>9</v>
      </c>
      <c r="D529" s="4" t="str">
        <f>IFERROR(__xludf.DUMMYFUNCTION("GOOGLETRANSLATE(A529, ""en"", ""zh-CN"")"),"尽管")</f>
        <v>尽管</v>
      </c>
    </row>
    <row r="530" ht="15.75" customHeight="1">
      <c r="A530" s="3" t="s">
        <v>547</v>
      </c>
      <c r="B530" s="3" t="s">
        <v>8</v>
      </c>
      <c r="C530" s="3" t="s">
        <v>13</v>
      </c>
      <c r="D530" s="4" t="str">
        <f>IFERROR(__xludf.DUMMYFUNCTION("GOOGLETRANSLATE(A530, ""en"", ""zh-CN"")"),"区")</f>
        <v>区</v>
      </c>
    </row>
    <row r="531" ht="15.75" customHeight="1">
      <c r="A531" s="3" t="s">
        <v>548</v>
      </c>
      <c r="B531" s="3" t="s">
        <v>8</v>
      </c>
      <c r="C531" s="3" t="s">
        <v>6</v>
      </c>
      <c r="D531" s="4" t="str">
        <f>IFERROR(__xludf.DUMMYFUNCTION("GOOGLETRANSLATE(A531, ""en"", ""zh-CN"")"),"天")</f>
        <v>天</v>
      </c>
    </row>
    <row r="532" ht="15.75" customHeight="1">
      <c r="A532" s="3" t="s">
        <v>549</v>
      </c>
      <c r="B532" s="3" t="s">
        <v>8</v>
      </c>
      <c r="C532" s="3" t="s">
        <v>9</v>
      </c>
      <c r="D532" s="4" t="str">
        <f>IFERROR(__xludf.DUMMYFUNCTION("GOOGLETRANSLATE(A532, ""en"", ""zh-CN"")"),"目的地")</f>
        <v>目的地</v>
      </c>
    </row>
    <row r="533" ht="15.75" customHeight="1">
      <c r="A533" s="3" t="s">
        <v>550</v>
      </c>
      <c r="B533" s="3" t="s">
        <v>22</v>
      </c>
      <c r="C533" s="3" t="s">
        <v>16</v>
      </c>
      <c r="D533" s="4" t="str">
        <f>IFERROR(__xludf.DUMMYFUNCTION("GOOGLETRANSLATE(A533, ""en"", ""zh-CN"")"),"死的")</f>
        <v>死的</v>
      </c>
    </row>
    <row r="534" ht="15.75" customHeight="1">
      <c r="A534" s="3" t="s">
        <v>551</v>
      </c>
      <c r="B534" s="3" t="s">
        <v>12</v>
      </c>
      <c r="C534" s="3" t="s">
        <v>16</v>
      </c>
      <c r="D534" s="4" t="str">
        <f>IFERROR(__xludf.DUMMYFUNCTION("GOOGLETRANSLATE(A534, ""en"", ""zh-CN"")"),"破坏")</f>
        <v>破坏</v>
      </c>
    </row>
    <row r="535" ht="15.75" customHeight="1">
      <c r="A535" s="3" t="s">
        <v>552</v>
      </c>
      <c r="B535" s="3" t="s">
        <v>8</v>
      </c>
      <c r="C535" s="3" t="s">
        <v>13</v>
      </c>
      <c r="D535" s="4" t="str">
        <f>IFERROR(__xludf.DUMMYFUNCTION("GOOGLETRANSLATE(A535, ""en"", ""zh-CN"")"),"分配")</f>
        <v>分配</v>
      </c>
    </row>
    <row r="536" ht="15.75" customHeight="1">
      <c r="A536" s="3" t="s">
        <v>553</v>
      </c>
      <c r="B536" s="3" t="s">
        <v>22</v>
      </c>
      <c r="C536" s="3" t="s">
        <v>16</v>
      </c>
      <c r="D536" s="4" t="str">
        <f>IFERROR(__xludf.DUMMYFUNCTION("GOOGLETRANSLATE(A536, ""en"", ""zh-CN"")"),"离婚")</f>
        <v>离婚</v>
      </c>
    </row>
    <row r="537" ht="15.75" customHeight="1">
      <c r="A537" s="3" t="s">
        <v>554</v>
      </c>
      <c r="B537" s="3" t="s">
        <v>22</v>
      </c>
      <c r="C537" s="3" t="s">
        <v>13</v>
      </c>
      <c r="D537" s="4" t="str">
        <f>IFERROR(__xludf.DUMMYFUNCTION("GOOGLETRANSLATE(A537, ""en"", ""zh-CN"")"),"详细的")</f>
        <v>详细的</v>
      </c>
    </row>
    <row r="538" ht="15.75" customHeight="1">
      <c r="A538" s="3" t="s">
        <v>555</v>
      </c>
      <c r="B538" s="3" t="s">
        <v>8</v>
      </c>
      <c r="C538" s="3" t="s">
        <v>16</v>
      </c>
      <c r="D538" s="4" t="str">
        <f>IFERROR(__xludf.DUMMYFUNCTION("GOOGLETRANSLATE(A538, ""en"", ""zh-CN"")"),"死亡")</f>
        <v>死亡</v>
      </c>
    </row>
    <row r="539" ht="15.75" customHeight="1">
      <c r="A539" s="3" t="s">
        <v>556</v>
      </c>
      <c r="B539" s="3" t="s">
        <v>12</v>
      </c>
      <c r="C539" s="3" t="s">
        <v>13</v>
      </c>
      <c r="D539" s="4" t="str">
        <f>IFERROR(__xludf.DUMMYFUNCTION("GOOGLETRANSLATE(A539, ""en"", ""zh-CN"")"),"探测")</f>
        <v>探测</v>
      </c>
    </row>
    <row r="540" ht="15.75" customHeight="1">
      <c r="A540" s="3" t="s">
        <v>557</v>
      </c>
      <c r="B540" s="3" t="s">
        <v>8</v>
      </c>
      <c r="C540" s="3" t="s">
        <v>6</v>
      </c>
      <c r="D540" s="4" t="str">
        <f>IFERROR(__xludf.DUMMYFUNCTION("GOOGLETRANSLATE(A540, ""en"", ""zh-CN"")"),"医生")</f>
        <v>医生</v>
      </c>
    </row>
    <row r="541" ht="15.75" customHeight="1">
      <c r="A541" s="3" t="s">
        <v>558</v>
      </c>
      <c r="B541" s="3" t="s">
        <v>8</v>
      </c>
      <c r="C541" s="3" t="s">
        <v>16</v>
      </c>
      <c r="D541" s="4" t="str">
        <f>IFERROR(__xludf.DUMMYFUNCTION("GOOGLETRANSLATE(A541, ""en"", ""zh-CN"")"),"侦探")</f>
        <v>侦探</v>
      </c>
    </row>
    <row r="542" ht="15.75" customHeight="1">
      <c r="A542" s="3" t="s">
        <v>559</v>
      </c>
      <c r="B542" s="3" t="s">
        <v>8</v>
      </c>
      <c r="C542" s="3" t="s">
        <v>13</v>
      </c>
      <c r="D542" s="4" t="str">
        <f>IFERROR(__xludf.DUMMYFUNCTION("GOOGLETRANSLATE(A542, ""en"", ""zh-CN"")"),"债务")</f>
        <v>债务</v>
      </c>
    </row>
    <row r="543" ht="15.75" customHeight="1">
      <c r="A543" s="3" t="s">
        <v>560</v>
      </c>
      <c r="B543" s="3" t="s">
        <v>12</v>
      </c>
      <c r="C543" s="3" t="s">
        <v>9</v>
      </c>
      <c r="D543" s="4" t="str">
        <f>IFERROR(__xludf.DUMMYFUNCTION("GOOGLETRANSLATE(A543, ""en"", ""zh-CN"")"),"决定")</f>
        <v>决定</v>
      </c>
    </row>
    <row r="544" ht="15.75" customHeight="1">
      <c r="A544" s="3" t="s">
        <v>561</v>
      </c>
      <c r="B544" s="3" t="s">
        <v>8</v>
      </c>
      <c r="C544" s="3" t="s">
        <v>9</v>
      </c>
      <c r="D544" s="4" t="str">
        <f>IFERROR(__xludf.DUMMYFUNCTION("GOOGLETRANSLATE(A544, ""en"", ""zh-CN"")"),"记录")</f>
        <v>记录</v>
      </c>
    </row>
    <row r="545" ht="15.75" customHeight="1">
      <c r="A545" s="3" t="s">
        <v>562</v>
      </c>
      <c r="B545" s="3" t="s">
        <v>8</v>
      </c>
      <c r="C545" s="3" t="s">
        <v>9</v>
      </c>
      <c r="D545" s="4" t="str">
        <f>IFERROR(__xludf.DUMMYFUNCTION("GOOGLETRANSLATE(A545, ""en"", ""zh-CN"")"),"十年")</f>
        <v>十年</v>
      </c>
    </row>
    <row r="546" ht="15.75" customHeight="1">
      <c r="A546" s="3" t="s">
        <v>563</v>
      </c>
      <c r="B546" s="3" t="s">
        <v>22</v>
      </c>
      <c r="C546" s="3" t="s">
        <v>9</v>
      </c>
      <c r="D546" s="4" t="str">
        <f>IFERROR(__xludf.DUMMYFUNCTION("GOOGLETRANSLATE(A546, ""en"", ""zh-CN"")"),"决定")</f>
        <v>决定</v>
      </c>
    </row>
    <row r="547" ht="15.75" customHeight="1">
      <c r="A547" s="3" t="s">
        <v>564</v>
      </c>
      <c r="B547" s="3" t="s">
        <v>8</v>
      </c>
      <c r="C547" s="3" t="s">
        <v>6</v>
      </c>
      <c r="D547" s="4" t="str">
        <f>IFERROR(__xludf.DUMMYFUNCTION("GOOGLETRANSLATE(A547, ""en"", ""zh-CN"")"),"狗")</f>
        <v>狗</v>
      </c>
    </row>
    <row r="548" ht="15.75" customHeight="1">
      <c r="A548" s="3" t="s">
        <v>565</v>
      </c>
      <c r="B548" s="3" t="s">
        <v>8</v>
      </c>
      <c r="C548" s="3" t="s">
        <v>6</v>
      </c>
      <c r="D548" s="4" t="str">
        <f>IFERROR(__xludf.DUMMYFUNCTION("GOOGLETRANSLATE(A548, ""en"", ""zh-CN"")"),"十二月")</f>
        <v>十二月</v>
      </c>
    </row>
    <row r="549" ht="15.75" customHeight="1">
      <c r="A549" s="3" t="s">
        <v>566</v>
      </c>
      <c r="B549" s="3" t="s">
        <v>12</v>
      </c>
      <c r="C549" s="3" t="s">
        <v>16</v>
      </c>
      <c r="D549" s="4" t="str">
        <f>IFERROR(__xludf.DUMMYFUNCTION("GOOGLETRANSLATE(A549, ""en"", ""zh-CN"")"),"发展")</f>
        <v>发展</v>
      </c>
    </row>
    <row r="550" ht="15.75" customHeight="1">
      <c r="A550" s="3" t="s">
        <v>567</v>
      </c>
      <c r="B550" s="3" t="s">
        <v>8</v>
      </c>
      <c r="C550" s="3" t="s">
        <v>6</v>
      </c>
      <c r="D550" s="4" t="str">
        <f>IFERROR(__xludf.DUMMYFUNCTION("GOOGLETRANSLATE(A550, ""en"", ""zh-CN"")"),"美元")</f>
        <v>美元</v>
      </c>
    </row>
    <row r="551" ht="15.75" customHeight="1">
      <c r="A551" s="3" t="s">
        <v>568</v>
      </c>
      <c r="B551" s="3" t="s">
        <v>22</v>
      </c>
      <c r="C551" s="3" t="s">
        <v>13</v>
      </c>
      <c r="D551" s="4" t="str">
        <f>IFERROR(__xludf.DUMMYFUNCTION("GOOGLETRANSLATE(A551, ""en"", ""zh-CN"")"),"体面的")</f>
        <v>体面的</v>
      </c>
    </row>
    <row r="552" ht="15.75" customHeight="1">
      <c r="A552" s="3" t="s">
        <v>569</v>
      </c>
      <c r="B552" s="3" t="s">
        <v>8</v>
      </c>
      <c r="C552" s="3" t="s">
        <v>9</v>
      </c>
      <c r="D552" s="4" t="str">
        <f>IFERROR(__xludf.DUMMYFUNCTION("GOOGLETRANSLATE(A552, ""en"", ""zh-CN"")"),"发展")</f>
        <v>发展</v>
      </c>
    </row>
    <row r="553" ht="15.75" customHeight="1">
      <c r="A553" s="3" t="s">
        <v>570</v>
      </c>
      <c r="B553" s="3" t="s">
        <v>22</v>
      </c>
      <c r="C553" s="3" t="s">
        <v>13</v>
      </c>
      <c r="D553" s="4" t="str">
        <f>IFERROR(__xludf.DUMMYFUNCTION("GOOGLETRANSLATE(A553, ""en"", ""zh-CN"")"),"国内的")</f>
        <v>国内的</v>
      </c>
    </row>
    <row r="554" ht="15.75" customHeight="1">
      <c r="A554" s="3" t="s">
        <v>571</v>
      </c>
      <c r="B554" s="3" t="s">
        <v>12</v>
      </c>
      <c r="C554" s="3" t="s">
        <v>6</v>
      </c>
      <c r="D554" s="4" t="str">
        <f>IFERROR(__xludf.DUMMYFUNCTION("GOOGLETRANSLATE(A554, ""en"", ""zh-CN"")"),"决定")</f>
        <v>决定</v>
      </c>
    </row>
    <row r="555" ht="15.75" customHeight="1">
      <c r="A555" s="3" t="s">
        <v>572</v>
      </c>
      <c r="B555" s="3" t="s">
        <v>8</v>
      </c>
      <c r="C555" s="3" t="s">
        <v>16</v>
      </c>
      <c r="D555" s="4" t="str">
        <f>IFERROR(__xludf.DUMMYFUNCTION("GOOGLETRANSLATE(A555, ""en"", ""zh-CN"")"),"设备")</f>
        <v>设备</v>
      </c>
    </row>
    <row r="556" ht="15.75" customHeight="1">
      <c r="A556" s="3" t="s">
        <v>573</v>
      </c>
      <c r="B556" s="3" t="s">
        <v>12</v>
      </c>
      <c r="C556" s="3" t="s">
        <v>13</v>
      </c>
      <c r="D556" s="4" t="str">
        <f>IFERROR(__xludf.DUMMYFUNCTION("GOOGLETRANSLATE(A556, ""en"", ""zh-CN"")"),"支配")</f>
        <v>支配</v>
      </c>
    </row>
    <row r="557" ht="15.75" customHeight="1">
      <c r="A557" s="3" t="s">
        <v>574</v>
      </c>
      <c r="B557" s="3" t="s">
        <v>8</v>
      </c>
      <c r="C557" s="3" t="s">
        <v>16</v>
      </c>
      <c r="D557" s="4" t="str">
        <f>IFERROR(__xludf.DUMMYFUNCTION("GOOGLETRANSLATE(A557, ""en"", ""zh-CN"")"),"决定")</f>
        <v>决定</v>
      </c>
    </row>
    <row r="558" ht="15.75" customHeight="1">
      <c r="A558" s="3" t="s">
        <v>575</v>
      </c>
      <c r="B558" s="3" t="s">
        <v>8</v>
      </c>
      <c r="C558" s="3" t="s">
        <v>9</v>
      </c>
      <c r="D558" s="4" t="str">
        <f>IFERROR(__xludf.DUMMYFUNCTION("GOOGLETRANSLATE(A558, ""en"", ""zh-CN"")"),"图表")</f>
        <v>图表</v>
      </c>
    </row>
    <row r="559" ht="15.75" customHeight="1">
      <c r="A559" s="3" t="s">
        <v>576</v>
      </c>
      <c r="B559" s="3" t="s">
        <v>12</v>
      </c>
      <c r="C559" s="3" t="s">
        <v>9</v>
      </c>
      <c r="D559" s="4" t="str">
        <f>IFERROR(__xludf.DUMMYFUNCTION("GOOGLETRANSLATE(A559, ""en"", ""zh-CN"")"),"捐")</f>
        <v>捐</v>
      </c>
    </row>
    <row r="560" ht="15.75" customHeight="1">
      <c r="A560" s="3" t="s">
        <v>577</v>
      </c>
      <c r="B560" s="3" t="s">
        <v>12</v>
      </c>
      <c r="C560" s="3" t="s">
        <v>13</v>
      </c>
      <c r="D560" s="4" t="str">
        <f>IFERROR(__xludf.DUMMYFUNCTION("GOOGLETRANSLATE(A560, ""en"", ""zh-CN"")"),"宣布")</f>
        <v>宣布</v>
      </c>
    </row>
    <row r="561" ht="15.75" customHeight="1">
      <c r="A561" s="3" t="s">
        <v>578</v>
      </c>
      <c r="B561" s="3" t="s">
        <v>8</v>
      </c>
      <c r="C561" s="3" t="s">
        <v>6</v>
      </c>
      <c r="D561" s="4" t="str">
        <f>IFERROR(__xludf.DUMMYFUNCTION("GOOGLETRANSLATE(A561, ""en"", ""zh-CN"")"),"对话")</f>
        <v>对话</v>
      </c>
    </row>
    <row r="562" ht="15.75" customHeight="1">
      <c r="A562" s="3" t="s">
        <v>579</v>
      </c>
      <c r="B562" s="3" t="s">
        <v>8</v>
      </c>
      <c r="C562" s="3" t="s">
        <v>6</v>
      </c>
      <c r="D562" s="4" t="str">
        <f>IFERROR(__xludf.DUMMYFUNCTION("GOOGLETRANSLATE(A562, ""en"", ""zh-CN"")"),"门")</f>
        <v>门</v>
      </c>
    </row>
    <row r="563" ht="15.75" customHeight="1">
      <c r="A563" s="3" t="s">
        <v>580</v>
      </c>
      <c r="B563" s="3" t="s">
        <v>8</v>
      </c>
      <c r="C563" s="3" t="s">
        <v>9</v>
      </c>
      <c r="D563" s="4" t="str">
        <f>IFERROR(__xludf.DUMMYFUNCTION("GOOGLETRANSLATE(A563, ""en"", ""zh-CN"")"),"钻石")</f>
        <v>钻石</v>
      </c>
    </row>
    <row r="564" ht="15.75" customHeight="1">
      <c r="A564" s="3" t="s">
        <v>581</v>
      </c>
      <c r="B564" s="3" t="s">
        <v>12</v>
      </c>
      <c r="C564" s="3" t="s">
        <v>9</v>
      </c>
      <c r="D564" s="4" t="str">
        <f>IFERROR(__xludf.DUMMYFUNCTION("GOOGLETRANSLATE(A564, ""en"", ""zh-CN"")"),"装饰")</f>
        <v>装饰</v>
      </c>
    </row>
    <row r="565" ht="15.75" customHeight="1">
      <c r="A565" s="3" t="s">
        <v>582</v>
      </c>
      <c r="B565" s="3" t="s">
        <v>8</v>
      </c>
      <c r="C565" s="3" t="s">
        <v>16</v>
      </c>
      <c r="D565" s="4" t="str">
        <f>IFERROR(__xludf.DUMMYFUNCTION("GOOGLETRANSLATE(A565, ""en"", ""zh-CN"")"),"日记")</f>
        <v>日记</v>
      </c>
    </row>
    <row r="566" ht="15.75" customHeight="1">
      <c r="A566" s="3" t="s">
        <v>583</v>
      </c>
      <c r="B566" s="3" t="s">
        <v>8</v>
      </c>
      <c r="C566" s="3" t="s">
        <v>13</v>
      </c>
      <c r="D566" s="4" t="str">
        <f>IFERROR(__xludf.DUMMYFUNCTION("GOOGLETRANSLATE(A566, ""en"", ""zh-CN"")"),"装饰")</f>
        <v>装饰</v>
      </c>
    </row>
    <row r="567" ht="15.75" customHeight="1">
      <c r="A567" s="3" t="s">
        <v>584</v>
      </c>
      <c r="B567" s="3" t="s">
        <v>8</v>
      </c>
      <c r="C567" s="3" t="s">
        <v>6</v>
      </c>
      <c r="D567" s="4" t="str">
        <f>IFERROR(__xludf.DUMMYFUNCTION("GOOGLETRANSLATE(A567, ""en"", ""zh-CN"")"),"字典")</f>
        <v>字典</v>
      </c>
    </row>
    <row r="568" ht="15.75" customHeight="1">
      <c r="A568" s="3" t="s">
        <v>585</v>
      </c>
      <c r="B568" s="3" t="s">
        <v>12</v>
      </c>
      <c r="C568" s="3" t="s">
        <v>6</v>
      </c>
      <c r="D568" s="4" t="str">
        <f>IFERROR(__xludf.DUMMYFUNCTION("GOOGLETRANSLATE(A568, ""en"", ""zh-CN"")"),"死")</f>
        <v>死</v>
      </c>
    </row>
    <row r="569" ht="15.75" customHeight="1">
      <c r="A569" s="3" t="s">
        <v>586</v>
      </c>
      <c r="B569" s="3" t="s">
        <v>8</v>
      </c>
      <c r="C569" s="3" t="s">
        <v>6</v>
      </c>
      <c r="D569" s="4" t="str">
        <f>IFERROR(__xludf.DUMMYFUNCTION("GOOGLETRANSLATE(A569, ""en"", ""zh-CN"")"),"饮食")</f>
        <v>饮食</v>
      </c>
    </row>
    <row r="570" ht="15.75" customHeight="1">
      <c r="A570" s="3" t="s">
        <v>587</v>
      </c>
      <c r="B570" s="3" t="s">
        <v>20</v>
      </c>
      <c r="C570" s="3" t="s">
        <v>13</v>
      </c>
      <c r="D570" s="4" t="str">
        <f>IFERROR(__xludf.DUMMYFUNCTION("GOOGLETRANSLATE(A570, ""en"", ""zh-CN"")"),"深")</f>
        <v>深</v>
      </c>
    </row>
    <row r="571" ht="15.75" customHeight="1">
      <c r="A571" s="3" t="s">
        <v>588</v>
      </c>
      <c r="B571" s="3" t="s">
        <v>8</v>
      </c>
      <c r="C571" s="3" t="s">
        <v>6</v>
      </c>
      <c r="D571" s="4" t="str">
        <f>IFERROR(__xludf.DUMMYFUNCTION("GOOGLETRANSLATE(A571, ""en"", ""zh-CN"")"),"不同之处")</f>
        <v>不同之处</v>
      </c>
    </row>
    <row r="572" ht="15.75" customHeight="1">
      <c r="A572" s="3" t="s">
        <v>589</v>
      </c>
      <c r="B572" s="3" t="s">
        <v>20</v>
      </c>
      <c r="C572" s="3" t="s">
        <v>13</v>
      </c>
      <c r="D572" s="4" t="str">
        <f>IFERROR(__xludf.DUMMYFUNCTION("GOOGLETRANSLATE(A572, ""en"", ""zh-CN"")"),"向下")</f>
        <v>向下</v>
      </c>
    </row>
    <row r="573" ht="15.75" customHeight="1">
      <c r="A573" s="3" t="s">
        <v>590</v>
      </c>
      <c r="B573" s="3" t="s">
        <v>22</v>
      </c>
      <c r="C573" s="3" t="s">
        <v>6</v>
      </c>
      <c r="D573" s="4" t="str">
        <f>IFERROR(__xludf.DUMMYFUNCTION("GOOGLETRANSLATE(A573, ""en"", ""zh-CN"")"),"不同的")</f>
        <v>不同的</v>
      </c>
    </row>
    <row r="574" ht="15.75" customHeight="1">
      <c r="A574" s="3" t="s">
        <v>591</v>
      </c>
      <c r="B574" s="3" t="s">
        <v>8</v>
      </c>
      <c r="C574" s="3" t="s">
        <v>13</v>
      </c>
      <c r="D574" s="4" t="str">
        <f>IFERROR(__xludf.DUMMYFUNCTION("GOOGLETRANSLATE(A574, ""en"", ""zh-CN"")"),"防御")</f>
        <v>防御</v>
      </c>
    </row>
    <row r="575" ht="15.75" customHeight="1">
      <c r="A575" s="3" t="s">
        <v>592</v>
      </c>
      <c r="B575" s="3" t="s">
        <v>20</v>
      </c>
      <c r="C575" s="3" t="s">
        <v>16</v>
      </c>
      <c r="D575" s="4" t="str">
        <f>IFERROR(__xludf.DUMMYFUNCTION("GOOGLETRANSLATE(A575, ""en"", ""zh-CN"")"),"对不同")</f>
        <v>对不同</v>
      </c>
    </row>
    <row r="576" ht="15.75" customHeight="1">
      <c r="A576" s="3" t="s">
        <v>593</v>
      </c>
      <c r="B576" s="3" t="s">
        <v>12</v>
      </c>
      <c r="C576" s="3" t="s">
        <v>13</v>
      </c>
      <c r="D576" s="4" t="str">
        <f>IFERROR(__xludf.DUMMYFUNCTION("GOOGLETRANSLATE(A576, ""en"", ""zh-CN"")"),"保卫")</f>
        <v>保卫</v>
      </c>
    </row>
    <row r="577" ht="15.75" customHeight="1">
      <c r="A577" s="3" t="s">
        <v>594</v>
      </c>
      <c r="B577" s="3" t="s">
        <v>22</v>
      </c>
      <c r="C577" s="3" t="s">
        <v>6</v>
      </c>
      <c r="D577" s="4" t="str">
        <f>IFERROR(__xludf.DUMMYFUNCTION("GOOGLETRANSLATE(A577, ""en"", ""zh-CN"")"),"难的")</f>
        <v>难的</v>
      </c>
    </row>
    <row r="578" ht="15.75" customHeight="1">
      <c r="A578" s="3" t="s">
        <v>595</v>
      </c>
      <c r="B578" s="3" t="s">
        <v>12</v>
      </c>
      <c r="C578" s="3" t="s">
        <v>13</v>
      </c>
      <c r="D578" s="4" t="str">
        <f>IFERROR(__xludf.DUMMYFUNCTION("GOOGLETRANSLATE(A578, ""en"", ""zh-CN"")"),"拖")</f>
        <v>拖</v>
      </c>
    </row>
    <row r="579" ht="15.75" customHeight="1">
      <c r="A579" s="3" t="s">
        <v>596</v>
      </c>
      <c r="B579" s="3" t="s">
        <v>12</v>
      </c>
      <c r="C579" s="3" t="s">
        <v>9</v>
      </c>
      <c r="D579" s="4" t="str">
        <f>IFERROR(__xludf.DUMMYFUNCTION("GOOGLETRANSLATE(A579, ""en"", ""zh-CN"")"),"定义")</f>
        <v>定义</v>
      </c>
    </row>
    <row r="580" ht="15.75" customHeight="1">
      <c r="A580" s="3" t="s">
        <v>597</v>
      </c>
      <c r="B580" s="3" t="s">
        <v>8</v>
      </c>
      <c r="C580" s="3" t="s">
        <v>9</v>
      </c>
      <c r="D580" s="4" t="str">
        <f>IFERROR(__xludf.DUMMYFUNCTION("GOOGLETRANSLATE(A580, ""en"", ""zh-CN"")"),"困难")</f>
        <v>困难</v>
      </c>
    </row>
    <row r="581" ht="15.75" customHeight="1">
      <c r="A581" s="3" t="s">
        <v>598</v>
      </c>
      <c r="B581" s="3" t="s">
        <v>8</v>
      </c>
      <c r="C581" s="3" t="s">
        <v>16</v>
      </c>
      <c r="D581" s="4" t="str">
        <f>IFERROR(__xludf.DUMMYFUNCTION("GOOGLETRANSLATE(A581, ""en"", ""zh-CN"")"),"戏剧")</f>
        <v>戏剧</v>
      </c>
    </row>
    <row r="582" ht="15.75" customHeight="1">
      <c r="A582" s="3" t="s">
        <v>599</v>
      </c>
      <c r="B582" s="3" t="s">
        <v>22</v>
      </c>
      <c r="C582" s="3" t="s">
        <v>9</v>
      </c>
      <c r="D582" s="4" t="str">
        <f>IFERROR(__xludf.DUMMYFUNCTION("GOOGLETRANSLATE(A582, ""en"", ""zh-CN"")"),"定")</f>
        <v>定</v>
      </c>
    </row>
    <row r="583" ht="15.75" customHeight="1">
      <c r="A583" s="3" t="s">
        <v>600</v>
      </c>
      <c r="B583" s="3" t="s">
        <v>12</v>
      </c>
      <c r="C583" s="3" t="s">
        <v>13</v>
      </c>
      <c r="D583" s="4" t="str">
        <f>IFERROR(__xludf.DUMMYFUNCTION("GOOGLETRANSLATE(A583, ""en"", ""zh-CN"")"),"挖")</f>
        <v>挖</v>
      </c>
    </row>
    <row r="584" ht="15.75" customHeight="1">
      <c r="A584" s="3" t="s">
        <v>601</v>
      </c>
      <c r="B584" s="3" t="s">
        <v>22</v>
      </c>
      <c r="C584" s="3" t="s">
        <v>13</v>
      </c>
      <c r="D584" s="4" t="str">
        <f>IFERROR(__xludf.DUMMYFUNCTION("GOOGLETRANSLATE(A584, ""en"", ""zh-CN"")"),"戏剧性")</f>
        <v>戏剧性</v>
      </c>
    </row>
    <row r="585" ht="15.75" customHeight="1">
      <c r="A585" s="3" t="s">
        <v>602</v>
      </c>
      <c r="B585" s="3" t="s">
        <v>20</v>
      </c>
      <c r="C585" s="3" t="s">
        <v>16</v>
      </c>
      <c r="D585" s="4" t="str">
        <f>IFERROR(__xludf.DUMMYFUNCTION("GOOGLETRANSLATE(A585, ""en"", ""zh-CN"")"),"确实")</f>
        <v>确实</v>
      </c>
    </row>
    <row r="586" ht="15.75" customHeight="1">
      <c r="A586" s="3" t="s">
        <v>603</v>
      </c>
      <c r="B586" s="3" t="s">
        <v>22</v>
      </c>
      <c r="C586" s="3" t="s">
        <v>16</v>
      </c>
      <c r="D586" s="4" t="str">
        <f>IFERROR(__xludf.DUMMYFUNCTION("GOOGLETRANSLATE(A586, ""en"", ""zh-CN"")"),"数字的")</f>
        <v>数字的</v>
      </c>
    </row>
    <row r="587" ht="15.75" customHeight="1">
      <c r="A587" s="3" t="s">
        <v>604</v>
      </c>
      <c r="B587" s="3" t="s">
        <v>12</v>
      </c>
      <c r="C587" s="3" t="s">
        <v>6</v>
      </c>
      <c r="D587" s="4" t="str">
        <f>IFERROR(__xludf.DUMMYFUNCTION("GOOGLETRANSLATE(A587, ""en"", ""zh-CN"")"),"画")</f>
        <v>画</v>
      </c>
    </row>
    <row r="588" ht="15.75" customHeight="1">
      <c r="A588" s="3" t="s">
        <v>605</v>
      </c>
      <c r="B588" s="3" t="s">
        <v>8</v>
      </c>
      <c r="C588" s="3" t="s">
        <v>9</v>
      </c>
      <c r="D588" s="4" t="str">
        <f>IFERROR(__xludf.DUMMYFUNCTION("GOOGLETRANSLATE(A588, ""en"", ""zh-CN"")"),"定义")</f>
        <v>定义</v>
      </c>
    </row>
    <row r="589" ht="15.75" customHeight="1">
      <c r="A589" s="3" t="s">
        <v>606</v>
      </c>
      <c r="B589" s="3" t="s">
        <v>8</v>
      </c>
      <c r="C589" s="3" t="s">
        <v>6</v>
      </c>
      <c r="D589" s="4" t="str">
        <f>IFERROR(__xludf.DUMMYFUNCTION("GOOGLETRANSLATE(A589, ""en"", ""zh-CN"")"),"晚餐")</f>
        <v>晚餐</v>
      </c>
    </row>
    <row r="590" ht="15.75" customHeight="1">
      <c r="A590" s="3" t="s">
        <v>607</v>
      </c>
      <c r="B590" s="3" t="s">
        <v>8</v>
      </c>
      <c r="C590" s="3" t="s">
        <v>16</v>
      </c>
      <c r="D590" s="4" t="str">
        <f>IFERROR(__xludf.DUMMYFUNCTION("GOOGLETRANSLATE(A590, ""en"", ""zh-CN"")"),"绘画")</f>
        <v>绘画</v>
      </c>
    </row>
    <row r="591" ht="15.75" customHeight="1">
      <c r="A591" s="3" t="s">
        <v>608</v>
      </c>
      <c r="B591" s="3" t="s">
        <v>8</v>
      </c>
      <c r="C591" s="3" t="s">
        <v>16</v>
      </c>
      <c r="D591" s="4" t="str">
        <f>IFERROR(__xludf.DUMMYFUNCTION("GOOGLETRANSLATE(A591, ""en"", ""zh-CN"")"),"程度")</f>
        <v>程度</v>
      </c>
    </row>
    <row r="592" ht="15.75" customHeight="1">
      <c r="A592" s="3" t="s">
        <v>609</v>
      </c>
      <c r="B592" s="3" t="s">
        <v>8</v>
      </c>
      <c r="C592" s="3" t="s">
        <v>16</v>
      </c>
      <c r="D592" s="4" t="str">
        <f>IFERROR(__xludf.DUMMYFUNCTION("GOOGLETRANSLATE(A592, ""en"", ""zh-CN"")"),"方向")</f>
        <v>方向</v>
      </c>
    </row>
    <row r="593" ht="15.75" customHeight="1">
      <c r="A593" s="3" t="s">
        <v>610</v>
      </c>
      <c r="B593" s="3" t="s">
        <v>22</v>
      </c>
      <c r="C593" s="3" t="s">
        <v>13</v>
      </c>
      <c r="D593" s="4" t="str">
        <f>IFERROR(__xludf.DUMMYFUNCTION("GOOGLETRANSLATE(A593, ""en"", ""zh-CN"")"),"商榷")</f>
        <v>商榷</v>
      </c>
    </row>
    <row r="594" ht="15.75" customHeight="1">
      <c r="A594" s="3" t="s">
        <v>611</v>
      </c>
      <c r="B594" s="3" t="s">
        <v>20</v>
      </c>
      <c r="C594" s="3" t="s">
        <v>9</v>
      </c>
      <c r="D594" s="4" t="str">
        <f>IFERROR(__xludf.DUMMYFUNCTION("GOOGLETRANSLATE(A594, ""en"", ""zh-CN"")"),"直接地")</f>
        <v>直接地</v>
      </c>
    </row>
    <row r="595" ht="15.75" customHeight="1">
      <c r="A595" s="3" t="s">
        <v>612</v>
      </c>
      <c r="B595" s="3" t="s">
        <v>22</v>
      </c>
      <c r="C595" s="3" t="s">
        <v>9</v>
      </c>
      <c r="D595" s="4" t="str">
        <f>IFERROR(__xludf.DUMMYFUNCTION("GOOGLETRANSLATE(A595, ""en"", ""zh-CN"")"),"穿着")</f>
        <v>穿着</v>
      </c>
    </row>
    <row r="596" ht="15.75" customHeight="1">
      <c r="A596" s="3" t="s">
        <v>613</v>
      </c>
      <c r="B596" s="3" t="s">
        <v>20</v>
      </c>
      <c r="C596" s="3" t="s">
        <v>13</v>
      </c>
      <c r="D596" s="4" t="str">
        <f>IFERROR(__xludf.DUMMYFUNCTION("GOOGLETRANSLATE(A596, ""en"", ""zh-CN"")"),"故意地")</f>
        <v>故意地</v>
      </c>
    </row>
    <row r="597" ht="15.75" customHeight="1">
      <c r="A597" s="3" t="s">
        <v>614</v>
      </c>
      <c r="B597" s="3" t="s">
        <v>8</v>
      </c>
      <c r="C597" s="3" t="s">
        <v>16</v>
      </c>
      <c r="D597" s="4" t="str">
        <f>IFERROR(__xludf.DUMMYFUNCTION("GOOGLETRANSLATE(A597, ""en"", ""zh-CN"")"),"导演")</f>
        <v>导演</v>
      </c>
    </row>
    <row r="598" ht="15.75" customHeight="1">
      <c r="A598" s="3" t="s">
        <v>615</v>
      </c>
      <c r="B598" s="3" t="s">
        <v>22</v>
      </c>
      <c r="C598" s="3" t="s">
        <v>6</v>
      </c>
      <c r="D598" s="4" t="str">
        <f>IFERROR(__xludf.DUMMYFUNCTION("GOOGLETRANSLATE(A598, ""en"", ""zh-CN"")"),"可口的")</f>
        <v>可口的</v>
      </c>
    </row>
    <row r="599" ht="15.75" customHeight="1">
      <c r="A599" s="3" t="s">
        <v>616</v>
      </c>
      <c r="B599" s="3" t="s">
        <v>8</v>
      </c>
      <c r="C599" s="3" t="s">
        <v>9</v>
      </c>
      <c r="D599" s="4" t="str">
        <f>IFERROR(__xludf.DUMMYFUNCTION("GOOGLETRANSLATE(A599, ""en"", ""zh-CN"")"),"污垢")</f>
        <v>污垢</v>
      </c>
    </row>
    <row r="600" ht="15.75" customHeight="1">
      <c r="A600" s="3" t="s">
        <v>617</v>
      </c>
      <c r="B600" s="3" t="s">
        <v>22</v>
      </c>
      <c r="C600" s="3" t="s">
        <v>6</v>
      </c>
      <c r="D600" s="4" t="str">
        <f>IFERROR(__xludf.DUMMYFUNCTION("GOOGLETRANSLATE(A600, ""en"", ""zh-CN"")"),"肮脏的")</f>
        <v>肮脏的</v>
      </c>
    </row>
    <row r="601" ht="15.75" customHeight="1">
      <c r="A601" s="3" t="s">
        <v>618</v>
      </c>
      <c r="B601" s="3" t="s">
        <v>8</v>
      </c>
      <c r="C601" s="3" t="s">
        <v>6</v>
      </c>
      <c r="D601" s="4" t="str">
        <f>IFERROR(__xludf.DUMMYFUNCTION("GOOGLETRANSLATE(A601, ""en"", ""zh-CN"")"),"司机")</f>
        <v>司机</v>
      </c>
    </row>
    <row r="602" ht="15.75" customHeight="1">
      <c r="A602" s="3" t="s">
        <v>619</v>
      </c>
      <c r="B602" s="3" t="s">
        <v>22</v>
      </c>
      <c r="C602" s="3" t="s">
        <v>13</v>
      </c>
      <c r="D602" s="4" t="str">
        <f>IFERROR(__xludf.DUMMYFUNCTION("GOOGLETRANSLATE(A602, ""en"", ""zh-CN"")"),"高兴极了")</f>
        <v>高兴极了</v>
      </c>
    </row>
    <row r="603" ht="15.75" customHeight="1">
      <c r="A603" s="3" t="s">
        <v>620</v>
      </c>
      <c r="B603" s="3" t="s">
        <v>8</v>
      </c>
      <c r="C603" s="3" t="s">
        <v>9</v>
      </c>
      <c r="D603" s="4" t="str">
        <f>IFERROR(__xludf.DUMMYFUNCTION("GOOGLETRANSLATE(A603, ""en"", ""zh-CN"")"),"坏处")</f>
        <v>坏处</v>
      </c>
    </row>
    <row r="604" ht="15.75" customHeight="1">
      <c r="A604" s="3" t="s">
        <v>621</v>
      </c>
      <c r="B604" s="3" t="s">
        <v>8</v>
      </c>
      <c r="C604" s="3" t="s">
        <v>16</v>
      </c>
      <c r="D604" s="4" t="str">
        <f>IFERROR(__xludf.DUMMYFUNCTION("GOOGLETRANSLATE(A604, ""en"", ""zh-CN"")"),"驾驶")</f>
        <v>驾驶</v>
      </c>
    </row>
    <row r="605" ht="15.75" customHeight="1">
      <c r="A605" s="3" t="s">
        <v>622</v>
      </c>
      <c r="B605" s="3" t="s">
        <v>12</v>
      </c>
      <c r="C605" s="3" t="s">
        <v>9</v>
      </c>
      <c r="D605" s="4" t="str">
        <f>IFERROR(__xludf.DUMMYFUNCTION("GOOGLETRANSLATE(A605, ""en"", ""zh-CN"")"),"递送")</f>
        <v>递送</v>
      </c>
    </row>
    <row r="606" ht="15.75" customHeight="1">
      <c r="A606" s="3" t="s">
        <v>623</v>
      </c>
      <c r="B606" s="3" t="s">
        <v>12</v>
      </c>
      <c r="C606" s="3" t="s">
        <v>16</v>
      </c>
      <c r="D606" s="4" t="str">
        <f>IFERROR(__xludf.DUMMYFUNCTION("GOOGLETRANSLATE(A606, ""en"", ""zh-CN"")"),"不同意")</f>
        <v>不同意</v>
      </c>
    </row>
    <row r="607" ht="15.75" customHeight="1">
      <c r="A607" s="3" t="s">
        <v>624</v>
      </c>
      <c r="B607" s="3" t="s">
        <v>8</v>
      </c>
      <c r="C607" s="3" t="s">
        <v>13</v>
      </c>
      <c r="D607" s="4" t="str">
        <f>IFERROR(__xludf.DUMMYFUNCTION("GOOGLETRANSLATE(A607, ""en"", ""zh-CN"")"),"送货")</f>
        <v>送货</v>
      </c>
    </row>
    <row r="608" ht="15.75" customHeight="1">
      <c r="A608" s="3" t="s">
        <v>625</v>
      </c>
      <c r="B608" s="3" t="s">
        <v>12</v>
      </c>
      <c r="C608" s="3" t="s">
        <v>16</v>
      </c>
      <c r="D608" s="4" t="str">
        <f>IFERROR(__xludf.DUMMYFUNCTION("GOOGLETRANSLATE(A608, ""en"", ""zh-CN"")"),"消失")</f>
        <v>消失</v>
      </c>
    </row>
    <row r="609" ht="15.75" customHeight="1">
      <c r="A609" s="3" t="s">
        <v>626</v>
      </c>
      <c r="B609" s="3" t="s">
        <v>8</v>
      </c>
      <c r="C609" s="3" t="s">
        <v>16</v>
      </c>
      <c r="D609" s="4" t="str">
        <f>IFERROR(__xludf.DUMMYFUNCTION("GOOGLETRANSLATE(A609, ""en"", ""zh-CN"")"),"药品")</f>
        <v>药品</v>
      </c>
    </row>
    <row r="610" ht="15.75" customHeight="1">
      <c r="A610" s="3" t="s">
        <v>627</v>
      </c>
      <c r="B610" s="3" t="s">
        <v>22</v>
      </c>
      <c r="C610" s="3" t="s">
        <v>9</v>
      </c>
      <c r="D610" s="4" t="str">
        <f>IFERROR(__xludf.DUMMYFUNCTION("GOOGLETRANSLATE(A610, ""en"", ""zh-CN"")"),"失望的")</f>
        <v>失望的</v>
      </c>
    </row>
    <row r="611" ht="15.75" customHeight="1">
      <c r="A611" s="3" t="s">
        <v>628</v>
      </c>
      <c r="B611" s="3" t="s">
        <v>8</v>
      </c>
      <c r="C611" s="3" t="s">
        <v>9</v>
      </c>
      <c r="D611" s="4" t="str">
        <f>IFERROR(__xludf.DUMMYFUNCTION("GOOGLETRANSLATE(A611, ""en"", ""zh-CN"")"),"鼓")</f>
        <v>鼓</v>
      </c>
    </row>
    <row r="612" ht="15.75" customHeight="1">
      <c r="A612" s="3" t="s">
        <v>629</v>
      </c>
      <c r="B612" s="3" t="s">
        <v>12</v>
      </c>
      <c r="C612" s="3" t="s">
        <v>13</v>
      </c>
      <c r="D612" s="4" t="str">
        <f>IFERROR(__xludf.DUMMYFUNCTION("GOOGLETRANSLATE(A612, ""en"", ""zh-CN"")"),"证明")</f>
        <v>证明</v>
      </c>
    </row>
    <row r="613" ht="15.75" customHeight="1">
      <c r="A613" s="3" t="s">
        <v>630</v>
      </c>
      <c r="B613" s="3" t="s">
        <v>22</v>
      </c>
      <c r="C613" s="3" t="s">
        <v>9</v>
      </c>
      <c r="D613" s="4" t="str">
        <f>IFERROR(__xludf.DUMMYFUNCTION("GOOGLETRANSLATE(A613, ""en"", ""zh-CN"")"),"令人失望")</f>
        <v>令人失望</v>
      </c>
    </row>
    <row r="614" ht="15.75" customHeight="1">
      <c r="A614" s="3" t="s">
        <v>631</v>
      </c>
      <c r="B614" s="3" t="s">
        <v>22</v>
      </c>
      <c r="C614" s="3" t="s">
        <v>9</v>
      </c>
      <c r="D614" s="4" t="str">
        <f>IFERROR(__xludf.DUMMYFUNCTION("GOOGLETRANSLATE(A614, ""en"", ""zh-CN"")"),"醉")</f>
        <v>醉</v>
      </c>
    </row>
    <row r="615" ht="15.75" customHeight="1">
      <c r="A615" s="3" t="s">
        <v>632</v>
      </c>
      <c r="B615" s="3" t="s">
        <v>8</v>
      </c>
      <c r="C615" s="3" t="s">
        <v>16</v>
      </c>
      <c r="D615" s="4" t="str">
        <f>IFERROR(__xludf.DUMMYFUNCTION("GOOGLETRANSLATE(A615, ""en"", ""zh-CN"")"),"牙医")</f>
        <v>牙医</v>
      </c>
    </row>
    <row r="616" ht="15.75" customHeight="1">
      <c r="A616" s="3" t="s">
        <v>633</v>
      </c>
      <c r="B616" s="3" t="s">
        <v>8</v>
      </c>
      <c r="C616" s="3" t="s">
        <v>16</v>
      </c>
      <c r="D616" s="4" t="str">
        <f>IFERROR(__xludf.DUMMYFUNCTION("GOOGLETRANSLATE(A616, ""en"", ""zh-CN"")"),"灾难")</f>
        <v>灾难</v>
      </c>
    </row>
    <row r="617" ht="15.75" customHeight="1">
      <c r="A617" s="3" t="s">
        <v>634</v>
      </c>
      <c r="B617" s="3" t="s">
        <v>12</v>
      </c>
      <c r="C617" s="3" t="s">
        <v>13</v>
      </c>
      <c r="D617" s="4" t="str">
        <f>IFERROR(__xludf.DUMMYFUNCTION("GOOGLETRANSLATE(A617, ""en"", ""zh-CN"")"),"否定")</f>
        <v>否定</v>
      </c>
    </row>
    <row r="618" ht="15.75" customHeight="1">
      <c r="A618" s="3" t="s">
        <v>635</v>
      </c>
      <c r="B618" s="3" t="s">
        <v>8</v>
      </c>
      <c r="C618" s="3" t="s">
        <v>13</v>
      </c>
      <c r="D618" s="4" t="str">
        <f>IFERROR(__xludf.DUMMYFUNCTION("GOOGLETRANSLATE(A618, ""en"", ""zh-CN"")"),"光盘")</f>
        <v>光盘</v>
      </c>
    </row>
    <row r="619" ht="15.75" customHeight="1">
      <c r="A619" s="3" t="s">
        <v>636</v>
      </c>
      <c r="B619" s="3" t="s">
        <v>22</v>
      </c>
      <c r="C619" s="3" t="s">
        <v>9</v>
      </c>
      <c r="D619" s="4" t="str">
        <f>IFERROR(__xludf.DUMMYFUNCTION("GOOGLETRANSLATE(A619, ""en"", ""zh-CN"")"),"到期的")</f>
        <v>到期的</v>
      </c>
    </row>
    <row r="620" ht="15.75" customHeight="1">
      <c r="A620" s="3" t="s">
        <v>637</v>
      </c>
      <c r="B620" s="3" t="s">
        <v>8</v>
      </c>
      <c r="C620" s="3" t="s">
        <v>16</v>
      </c>
      <c r="D620" s="4" t="str">
        <f>IFERROR(__xludf.DUMMYFUNCTION("GOOGLETRANSLATE(A620, ""en"", ""zh-CN"")"),"部门")</f>
        <v>部门</v>
      </c>
    </row>
    <row r="621" ht="15.75" customHeight="1">
      <c r="A621" s="3" t="s">
        <v>638</v>
      </c>
      <c r="B621" s="3" t="s">
        <v>8</v>
      </c>
      <c r="C621" s="3" t="s">
        <v>13</v>
      </c>
      <c r="D621" s="4" t="str">
        <f>IFERROR(__xludf.DUMMYFUNCTION("GOOGLETRANSLATE(A621, ""en"", ""zh-CN"")"),"纪律")</f>
        <v>纪律</v>
      </c>
    </row>
    <row r="622" ht="15.75" customHeight="1">
      <c r="A622" s="3" t="s">
        <v>639</v>
      </c>
      <c r="B622" s="3" t="s">
        <v>88</v>
      </c>
      <c r="C622" s="3" t="s">
        <v>6</v>
      </c>
      <c r="D622" s="4" t="str">
        <f>IFERROR(__xludf.DUMMYFUNCTION("GOOGLETRANSLATE(A622, ""en"", ""zh-CN"")"),"期间")</f>
        <v>期间</v>
      </c>
    </row>
    <row r="623" ht="15.75" customHeight="1">
      <c r="A623" s="3" t="s">
        <v>640</v>
      </c>
      <c r="B623" s="3" t="s">
        <v>8</v>
      </c>
      <c r="C623" s="3" t="s">
        <v>9</v>
      </c>
      <c r="D623" s="4" t="str">
        <f>IFERROR(__xludf.DUMMYFUNCTION("GOOGLETRANSLATE(A623, ""en"", ""zh-CN"")"),"离开")</f>
        <v>离开</v>
      </c>
    </row>
    <row r="624" ht="15.75" customHeight="1">
      <c r="A624" s="3" t="s">
        <v>641</v>
      </c>
      <c r="B624" s="3" t="s">
        <v>8</v>
      </c>
      <c r="C624" s="3" t="s">
        <v>9</v>
      </c>
      <c r="D624" s="4" t="str">
        <f>IFERROR(__xludf.DUMMYFUNCTION("GOOGLETRANSLATE(A624, ""en"", ""zh-CN"")"),"灰尘")</f>
        <v>灰尘</v>
      </c>
    </row>
    <row r="625" ht="15.75" customHeight="1">
      <c r="A625" s="3" t="s">
        <v>642</v>
      </c>
      <c r="B625" s="3" t="s">
        <v>12</v>
      </c>
      <c r="C625" s="3" t="s">
        <v>16</v>
      </c>
      <c r="D625" s="4" t="str">
        <f>IFERROR(__xludf.DUMMYFUNCTION("GOOGLETRANSLATE(A625, ""en"", ""zh-CN"")"),"依靠")</f>
        <v>依靠</v>
      </c>
    </row>
    <row r="626" ht="15.75" customHeight="1">
      <c r="A626" s="3" t="s">
        <v>643</v>
      </c>
      <c r="B626" s="3" t="s">
        <v>12</v>
      </c>
      <c r="C626" s="3" t="s">
        <v>16</v>
      </c>
      <c r="D626" s="4" t="str">
        <f>IFERROR(__xludf.DUMMYFUNCTION("GOOGLETRANSLATE(A626, ""en"", ""zh-CN"")"),"发现")</f>
        <v>发现</v>
      </c>
    </row>
    <row r="627" ht="15.75" customHeight="1">
      <c r="A627" s="3" t="s">
        <v>644</v>
      </c>
      <c r="B627" s="3" t="s">
        <v>8</v>
      </c>
      <c r="C627" s="3" t="s">
        <v>9</v>
      </c>
      <c r="D627" s="4" t="str">
        <f>IFERROR(__xludf.DUMMYFUNCTION("GOOGLETRANSLATE(A627, ""en"", ""zh-CN"")"),"责任")</f>
        <v>责任</v>
      </c>
    </row>
    <row r="628" ht="15.75" customHeight="1">
      <c r="A628" s="3" t="s">
        <v>645</v>
      </c>
      <c r="B628" s="3" t="s">
        <v>22</v>
      </c>
      <c r="C628" s="3" t="s">
        <v>13</v>
      </c>
      <c r="D628" s="4" t="str">
        <f>IFERROR(__xludf.DUMMYFUNCTION("GOOGLETRANSLATE(A628, ""en"", ""zh-CN"")"),"郁闷")</f>
        <v>郁闷</v>
      </c>
    </row>
    <row r="629" ht="15.75" customHeight="1">
      <c r="A629" s="3" t="s">
        <v>646</v>
      </c>
      <c r="B629" s="3" t="s">
        <v>8</v>
      </c>
      <c r="C629" s="3" t="s">
        <v>16</v>
      </c>
      <c r="D629" s="4" t="str">
        <f>IFERROR(__xludf.DUMMYFUNCTION("GOOGLETRANSLATE(A629, ""en"", ""zh-CN"")"),"发现")</f>
        <v>发现</v>
      </c>
    </row>
    <row r="630" ht="15.75" customHeight="1">
      <c r="A630" s="3" t="s">
        <v>647</v>
      </c>
      <c r="B630" s="3" t="s">
        <v>8</v>
      </c>
      <c r="C630" s="3" t="s">
        <v>6</v>
      </c>
      <c r="D630" s="4" t="str">
        <f>IFERROR(__xludf.DUMMYFUNCTION("GOOGLETRANSLATE(A630, ""en"", ""zh-CN"")"),"DVD")</f>
        <v>DVD</v>
      </c>
    </row>
    <row r="631" ht="15.75" customHeight="1">
      <c r="A631" s="3" t="s">
        <v>648</v>
      </c>
      <c r="B631" s="3" t="s">
        <v>649</v>
      </c>
      <c r="C631" s="3" t="s">
        <v>6</v>
      </c>
      <c r="D631" s="4" t="str">
        <f>IFERROR(__xludf.DUMMYFUNCTION("GOOGLETRANSLATE(A631, ""en"", ""zh-CN"")"),"每个")</f>
        <v>每个</v>
      </c>
    </row>
    <row r="632" ht="15.75" customHeight="1">
      <c r="A632" s="3" t="s">
        <v>650</v>
      </c>
      <c r="B632" s="3" t="s">
        <v>8</v>
      </c>
      <c r="C632" s="3" t="s">
        <v>16</v>
      </c>
      <c r="D632" s="4" t="str">
        <f>IFERROR(__xludf.DUMMYFUNCTION("GOOGLETRANSLATE(A632, ""en"", ""zh-CN"")"),"雇主")</f>
        <v>雇主</v>
      </c>
    </row>
    <row r="633" ht="15.75" customHeight="1">
      <c r="A633" s="3" t="s">
        <v>651</v>
      </c>
      <c r="B633" s="3" t="s">
        <v>22</v>
      </c>
      <c r="C633" s="3" t="s">
        <v>16</v>
      </c>
      <c r="D633" s="4" t="str">
        <f>IFERROR(__xludf.DUMMYFUNCTION("GOOGLETRANSLATE(A633, ""en"", ""zh-CN"")"),"每天")</f>
        <v>每天</v>
      </c>
    </row>
    <row r="634" ht="15.75" customHeight="1">
      <c r="A634" s="3" t="s">
        <v>652</v>
      </c>
      <c r="B634" s="3" t="s">
        <v>8</v>
      </c>
      <c r="C634" s="3" t="s">
        <v>6</v>
      </c>
      <c r="D634" s="4" t="str">
        <f>IFERROR(__xludf.DUMMYFUNCTION("GOOGLETRANSLATE(A634, ""en"", ""zh-CN"")"),"耳朵")</f>
        <v>耳朵</v>
      </c>
    </row>
    <row r="635" ht="15.75" customHeight="1">
      <c r="A635" s="3" t="s">
        <v>653</v>
      </c>
      <c r="B635" s="3" t="s">
        <v>8</v>
      </c>
      <c r="C635" s="3" t="s">
        <v>9</v>
      </c>
      <c r="D635" s="4" t="str">
        <f>IFERROR(__xludf.DUMMYFUNCTION("GOOGLETRANSLATE(A635, ""en"", ""zh-CN"")"),"就业")</f>
        <v>就业</v>
      </c>
    </row>
    <row r="636" ht="15.75" customHeight="1">
      <c r="A636" s="3" t="s">
        <v>654</v>
      </c>
      <c r="B636" s="3" t="s">
        <v>146</v>
      </c>
      <c r="C636" s="3" t="s">
        <v>6</v>
      </c>
      <c r="D636" s="4" t="str">
        <f>IFERROR(__xludf.DUMMYFUNCTION("GOOGLETRANSLATE(A636, ""en"", ""zh-CN"")"),"每个人")</f>
        <v>每个人</v>
      </c>
    </row>
    <row r="637" ht="15.75" customHeight="1">
      <c r="A637" s="3" t="s">
        <v>655</v>
      </c>
      <c r="B637" s="3" t="s">
        <v>146</v>
      </c>
      <c r="C637" s="3" t="s">
        <v>6</v>
      </c>
      <c r="D637" s="4" t="str">
        <f>IFERROR(__xludf.DUMMYFUNCTION("GOOGLETRANSLATE(A637, ""en"", ""zh-CN"")"),"一切")</f>
        <v>一切</v>
      </c>
    </row>
    <row r="638" ht="15.75" customHeight="1">
      <c r="A638" s="3" t="s">
        <v>656</v>
      </c>
      <c r="B638" s="3" t="s">
        <v>12</v>
      </c>
      <c r="C638" s="3" t="s">
        <v>16</v>
      </c>
      <c r="D638" s="4" t="str">
        <f>IFERROR(__xludf.DUMMYFUNCTION("GOOGLETRANSLATE(A638, ""en"", ""zh-CN"")"),"赚")</f>
        <v>赚</v>
      </c>
    </row>
    <row r="639" ht="15.75" customHeight="1">
      <c r="A639" s="3" t="s">
        <v>657</v>
      </c>
      <c r="B639" s="3" t="s">
        <v>12</v>
      </c>
      <c r="C639" s="3" t="s">
        <v>13</v>
      </c>
      <c r="D639" s="4" t="str">
        <f>IFERROR(__xludf.DUMMYFUNCTION("GOOGLETRANSLATE(A639, ""en"", ""zh-CN"")"),"使能够")</f>
        <v>使能够</v>
      </c>
    </row>
    <row r="640" ht="15.75" customHeight="1">
      <c r="A640" s="3" t="s">
        <v>658</v>
      </c>
      <c r="B640" s="3" t="s">
        <v>20</v>
      </c>
      <c r="C640" s="3" t="s">
        <v>16</v>
      </c>
      <c r="D640" s="4" t="str">
        <f>IFERROR(__xludf.DUMMYFUNCTION("GOOGLETRANSLATE(A640, ""en"", ""zh-CN"")"),"到处")</f>
        <v>到处</v>
      </c>
    </row>
    <row r="641" ht="15.75" customHeight="1">
      <c r="A641" s="3" t="s">
        <v>659</v>
      </c>
      <c r="B641" s="3" t="s">
        <v>8</v>
      </c>
      <c r="C641" s="3" t="s">
        <v>16</v>
      </c>
      <c r="D641" s="4" t="str">
        <f>IFERROR(__xludf.DUMMYFUNCTION("GOOGLETRANSLATE(A641, ""en"", ""zh-CN"")"),"地球")</f>
        <v>地球</v>
      </c>
    </row>
    <row r="642" ht="15.75" customHeight="1">
      <c r="A642" s="3" t="s">
        <v>660</v>
      </c>
      <c r="B642" s="3" t="s">
        <v>8</v>
      </c>
      <c r="C642" s="3" t="s">
        <v>16</v>
      </c>
      <c r="D642" s="4" t="str">
        <f>IFERROR(__xludf.DUMMYFUNCTION("GOOGLETRANSLATE(A642, ""en"", ""zh-CN"")"),"证据")</f>
        <v>证据</v>
      </c>
    </row>
    <row r="643" ht="15.75" customHeight="1">
      <c r="A643" s="3" t="s">
        <v>661</v>
      </c>
      <c r="B643" s="3" t="s">
        <v>8</v>
      </c>
      <c r="C643" s="3" t="s">
        <v>9</v>
      </c>
      <c r="D643" s="4" t="str">
        <f>IFERROR(__xludf.DUMMYFUNCTION("GOOGLETRANSLATE(A643, ""en"", ""zh-CN"")"),"地震")</f>
        <v>地震</v>
      </c>
    </row>
    <row r="644" ht="15.75" customHeight="1">
      <c r="A644" s="3" t="s">
        <v>662</v>
      </c>
      <c r="B644" s="3" t="s">
        <v>12</v>
      </c>
      <c r="C644" s="3" t="s">
        <v>9</v>
      </c>
      <c r="D644" s="4" t="str">
        <f>IFERROR(__xludf.DUMMYFUNCTION("GOOGLETRANSLATE(A644, ""en"", ""zh-CN"")"),"鼓励")</f>
        <v>鼓励</v>
      </c>
    </row>
    <row r="645" ht="15.75" customHeight="1">
      <c r="A645" s="3" t="s">
        <v>663</v>
      </c>
      <c r="B645" s="3" t="s">
        <v>20</v>
      </c>
      <c r="C645" s="3" t="s">
        <v>16</v>
      </c>
      <c r="D645" s="4" t="str">
        <f>IFERROR(__xludf.DUMMYFUNCTION("GOOGLETRANSLATE(A645, ""en"", ""zh-CN"")"),"容易地")</f>
        <v>容易地</v>
      </c>
    </row>
    <row r="646" ht="15.75" customHeight="1">
      <c r="A646" s="3" t="s">
        <v>664</v>
      </c>
      <c r="B646" s="3" t="s">
        <v>22</v>
      </c>
      <c r="C646" s="3" t="s">
        <v>16</v>
      </c>
      <c r="D646" s="4" t="str">
        <f>IFERROR(__xludf.DUMMYFUNCTION("GOOGLETRANSLATE(A646, ""en"", ""zh-CN"")"),"精确的")</f>
        <v>精确的</v>
      </c>
    </row>
    <row r="647" ht="15.75" customHeight="1">
      <c r="A647" s="3" t="s">
        <v>665</v>
      </c>
      <c r="B647" s="3" t="s">
        <v>8</v>
      </c>
      <c r="C647" s="3" t="s">
        <v>16</v>
      </c>
      <c r="D647" s="4" t="str">
        <f>IFERROR(__xludf.DUMMYFUNCTION("GOOGLETRANSLATE(A647, ""en"", ""zh-CN"")"),"结尾")</f>
        <v>结尾</v>
      </c>
    </row>
    <row r="648" ht="15.75" customHeight="1">
      <c r="A648" s="3" t="s">
        <v>666</v>
      </c>
      <c r="B648" s="3" t="s">
        <v>20</v>
      </c>
      <c r="C648" s="3" t="s">
        <v>16</v>
      </c>
      <c r="D648" s="4" t="str">
        <f>IFERROR(__xludf.DUMMYFUNCTION("GOOGLETRANSLATE(A648, ""en"", ""zh-CN"")"),"确切地")</f>
        <v>确切地</v>
      </c>
    </row>
    <row r="649" ht="15.75" customHeight="1">
      <c r="A649" s="3" t="s">
        <v>667</v>
      </c>
      <c r="B649" s="3" t="s">
        <v>22</v>
      </c>
      <c r="C649" s="3" t="s">
        <v>9</v>
      </c>
      <c r="D649" s="4" t="str">
        <f>IFERROR(__xludf.DUMMYFUNCTION("GOOGLETRANSLATE(A649, ""en"", ""zh-CN"")"),"东")</f>
        <v>东</v>
      </c>
    </row>
    <row r="650" ht="15.75" customHeight="1">
      <c r="A650" s="3" t="s">
        <v>668</v>
      </c>
      <c r="B650" s="3" t="s">
        <v>8</v>
      </c>
      <c r="C650" s="3" t="s">
        <v>9</v>
      </c>
      <c r="D650" s="4" t="str">
        <f>IFERROR(__xludf.DUMMYFUNCTION("GOOGLETRANSLATE(A650, ""en"", ""zh-CN"")"),"敌人")</f>
        <v>敌人</v>
      </c>
    </row>
    <row r="651" ht="15.75" customHeight="1">
      <c r="A651" s="3" t="s">
        <v>669</v>
      </c>
      <c r="B651" s="3" t="s">
        <v>8</v>
      </c>
      <c r="C651" s="3" t="s">
        <v>6</v>
      </c>
      <c r="D651" s="4" t="str">
        <f>IFERROR(__xludf.DUMMYFUNCTION("GOOGLETRANSLATE(A651, ""en"", ""zh-CN"")"),"考试")</f>
        <v>考试</v>
      </c>
    </row>
    <row r="652" ht="15.75" customHeight="1">
      <c r="A652" s="3" t="s">
        <v>670</v>
      </c>
      <c r="B652" s="3" t="s">
        <v>22</v>
      </c>
      <c r="C652" s="3" t="s">
        <v>6</v>
      </c>
      <c r="D652" s="4" t="str">
        <f>IFERROR(__xludf.DUMMYFUNCTION("GOOGLETRANSLATE(A652, ""en"", ""zh-CN"")"),"简单的")</f>
        <v>简单的</v>
      </c>
    </row>
    <row r="653" ht="15.75" customHeight="1">
      <c r="A653" s="3" t="s">
        <v>671</v>
      </c>
      <c r="B653" s="3" t="s">
        <v>8</v>
      </c>
      <c r="C653" s="3" t="s">
        <v>16</v>
      </c>
      <c r="D653" s="4" t="str">
        <f>IFERROR(__xludf.DUMMYFUNCTION("GOOGLETRANSLATE(A653, ""en"", ""zh-CN"")"),"活力")</f>
        <v>活力</v>
      </c>
    </row>
    <row r="654" ht="15.75" customHeight="1">
      <c r="A654" s="3" t="s">
        <v>672</v>
      </c>
      <c r="B654" s="3" t="s">
        <v>8</v>
      </c>
      <c r="C654" s="3" t="s">
        <v>13</v>
      </c>
      <c r="D654" s="4" t="str">
        <f>IFERROR(__xludf.DUMMYFUNCTION("GOOGLETRANSLATE(A654, ""en"", ""zh-CN"")"),"考试")</f>
        <v>考试</v>
      </c>
    </row>
    <row r="655" ht="15.75" customHeight="1">
      <c r="A655" s="3" t="s">
        <v>673</v>
      </c>
      <c r="B655" s="3" t="s">
        <v>12</v>
      </c>
      <c r="C655" s="3" t="s">
        <v>6</v>
      </c>
      <c r="D655" s="4" t="str">
        <f>IFERROR(__xludf.DUMMYFUNCTION("GOOGLETRANSLATE(A655, ""en"", ""zh-CN"")"),"吃")</f>
        <v>吃</v>
      </c>
    </row>
    <row r="656" ht="15.75" customHeight="1">
      <c r="A656" s="3" t="s">
        <v>674</v>
      </c>
      <c r="B656" s="3" t="s">
        <v>12</v>
      </c>
      <c r="C656" s="3" t="s">
        <v>13</v>
      </c>
      <c r="D656" s="4" t="str">
        <f>IFERROR(__xludf.DUMMYFUNCTION("GOOGLETRANSLATE(A656, ""en"", ""zh-CN"")"),"从事")</f>
        <v>从事</v>
      </c>
    </row>
    <row r="657" ht="15.75" customHeight="1">
      <c r="A657" s="3" t="s">
        <v>675</v>
      </c>
      <c r="B657" s="3" t="s">
        <v>12</v>
      </c>
      <c r="C657" s="3" t="s">
        <v>9</v>
      </c>
      <c r="D657" s="4" t="str">
        <f>IFERROR(__xludf.DUMMYFUNCTION("GOOGLETRANSLATE(A657, ""en"", ""zh-CN"")"),"检查")</f>
        <v>检查</v>
      </c>
    </row>
    <row r="658" ht="15.75" customHeight="1">
      <c r="A658" s="3" t="s">
        <v>676</v>
      </c>
      <c r="B658" s="3" t="s">
        <v>22</v>
      </c>
      <c r="C658" s="3" t="s">
        <v>9</v>
      </c>
      <c r="D658" s="4" t="str">
        <f>IFERROR(__xludf.DUMMYFUNCTION("GOOGLETRANSLATE(A658, ""en"", ""zh-CN"")"),"经济的")</f>
        <v>经济的</v>
      </c>
    </row>
    <row r="659" ht="15.75" customHeight="1">
      <c r="A659" s="3" t="s">
        <v>677</v>
      </c>
      <c r="B659" s="3" t="s">
        <v>22</v>
      </c>
      <c r="C659" s="3" t="s">
        <v>9</v>
      </c>
      <c r="D659" s="4" t="str">
        <f>IFERROR(__xludf.DUMMYFUNCTION("GOOGLETRANSLATE(A659, ""en"", ""zh-CN"")"),"已订婚的")</f>
        <v>已订婚的</v>
      </c>
    </row>
    <row r="660" ht="15.75" customHeight="1">
      <c r="A660" s="3" t="s">
        <v>678</v>
      </c>
      <c r="B660" s="3" t="s">
        <v>8</v>
      </c>
      <c r="C660" s="3" t="s">
        <v>6</v>
      </c>
      <c r="D660" s="4" t="str">
        <f>IFERROR(__xludf.DUMMYFUNCTION("GOOGLETRANSLATE(A660, ""en"", ""zh-CN"")"),"例子")</f>
        <v>例子</v>
      </c>
    </row>
    <row r="661" ht="15.75" customHeight="1">
      <c r="A661" s="3" t="s">
        <v>679</v>
      </c>
      <c r="B661" s="3" t="s">
        <v>8</v>
      </c>
      <c r="C661" s="3" t="s">
        <v>9</v>
      </c>
      <c r="D661" s="4" t="str">
        <f>IFERROR(__xludf.DUMMYFUNCTION("GOOGLETRANSLATE(A661, ""en"", ""zh-CN"")"),"经济")</f>
        <v>经济</v>
      </c>
    </row>
    <row r="662" ht="15.75" customHeight="1">
      <c r="A662" s="3" t="s">
        <v>680</v>
      </c>
      <c r="B662" s="3" t="s">
        <v>8</v>
      </c>
      <c r="C662" s="3" t="s">
        <v>16</v>
      </c>
      <c r="D662" s="4" t="str">
        <f>IFERROR(__xludf.DUMMYFUNCTION("GOOGLETRANSLATE(A662, ""en"", ""zh-CN"")"),"引擎")</f>
        <v>引擎</v>
      </c>
    </row>
    <row r="663" ht="15.75" customHeight="1">
      <c r="A663" s="3" t="s">
        <v>681</v>
      </c>
      <c r="B663" s="3" t="s">
        <v>22</v>
      </c>
      <c r="C663" s="3" t="s">
        <v>16</v>
      </c>
      <c r="D663" s="4" t="str">
        <f>IFERROR(__xludf.DUMMYFUNCTION("GOOGLETRANSLATE(A663, ""en"", ""zh-CN"")"),"出色的")</f>
        <v>出色的</v>
      </c>
    </row>
    <row r="664" ht="15.75" customHeight="1">
      <c r="A664" s="3" t="s">
        <v>682</v>
      </c>
      <c r="B664" s="3" t="s">
        <v>8</v>
      </c>
      <c r="C664" s="3" t="s">
        <v>9</v>
      </c>
      <c r="D664" s="4" t="str">
        <f>IFERROR(__xludf.DUMMYFUNCTION("GOOGLETRANSLATE(A664, ""en"", ""zh-CN"")"),"边缘")</f>
        <v>边缘</v>
      </c>
    </row>
    <row r="665" ht="15.75" customHeight="1">
      <c r="A665" s="3" t="s">
        <v>683</v>
      </c>
      <c r="B665" s="3" t="s">
        <v>8</v>
      </c>
      <c r="C665" s="3" t="s">
        <v>16</v>
      </c>
      <c r="D665" s="4" t="str">
        <f>IFERROR(__xludf.DUMMYFUNCTION("GOOGLETRANSLATE(A665, ""en"", ""zh-CN"")"),"工程师")</f>
        <v>工程师</v>
      </c>
    </row>
    <row r="666" ht="15.75" customHeight="1">
      <c r="A666" s="3" t="s">
        <v>684</v>
      </c>
      <c r="B666" s="3" t="s">
        <v>12</v>
      </c>
      <c r="C666" s="3" t="s">
        <v>13</v>
      </c>
      <c r="D666" s="4" t="str">
        <f>IFERROR(__xludf.DUMMYFUNCTION("GOOGLETRANSLATE(A666, ""en"", ""zh-CN"")"),"编辑")</f>
        <v>编辑</v>
      </c>
    </row>
    <row r="667" ht="15.75" customHeight="1">
      <c r="A667" s="3" t="s">
        <v>685</v>
      </c>
      <c r="B667" s="3" t="s">
        <v>8</v>
      </c>
      <c r="C667" s="3" t="s">
        <v>9</v>
      </c>
      <c r="D667" s="4" t="str">
        <f>IFERROR(__xludf.DUMMYFUNCTION("GOOGLETRANSLATE(A667, ""en"", ""zh-CN"")"),"工程")</f>
        <v>工程</v>
      </c>
    </row>
    <row r="668" ht="15.75" customHeight="1">
      <c r="A668" s="3" t="s">
        <v>686</v>
      </c>
      <c r="B668" s="3" t="s">
        <v>8</v>
      </c>
      <c r="C668" s="3" t="s">
        <v>13</v>
      </c>
      <c r="D668" s="4" t="str">
        <f>IFERROR(__xludf.DUMMYFUNCTION("GOOGLETRANSLATE(A668, ""en"", ""zh-CN"")"),"版")</f>
        <v>版</v>
      </c>
    </row>
    <row r="669" ht="15.75" customHeight="1">
      <c r="A669" s="3" t="s">
        <v>687</v>
      </c>
      <c r="B669" s="3" t="s">
        <v>12</v>
      </c>
      <c r="C669" s="3" t="s">
        <v>13</v>
      </c>
      <c r="D669" s="4" t="str">
        <f>IFERROR(__xludf.DUMMYFUNCTION("GOOGLETRANSLATE(A669, ""en"", ""zh-CN"")"),"提高")</f>
        <v>提高</v>
      </c>
    </row>
    <row r="670" ht="15.75" customHeight="1">
      <c r="A670" s="3" t="s">
        <v>688</v>
      </c>
      <c r="B670" s="3" t="s">
        <v>22</v>
      </c>
      <c r="C670" s="3" t="s">
        <v>6</v>
      </c>
      <c r="D670" s="4" t="str">
        <f>IFERROR(__xludf.DUMMYFUNCTION("GOOGLETRANSLATE(A670, ""en"", ""zh-CN"")"),"兴奋的")</f>
        <v>兴奋的</v>
      </c>
    </row>
    <row r="671" ht="15.75" customHeight="1">
      <c r="A671" s="3" t="s">
        <v>689</v>
      </c>
      <c r="B671" s="3" t="s">
        <v>8</v>
      </c>
      <c r="C671" s="3" t="s">
        <v>9</v>
      </c>
      <c r="D671" s="4" t="str">
        <f>IFERROR(__xludf.DUMMYFUNCTION("GOOGLETRANSLATE(A671, ""en"", ""zh-CN"")"),"编辑")</f>
        <v>编辑</v>
      </c>
    </row>
    <row r="672" ht="15.75" customHeight="1">
      <c r="A672" s="3" t="s">
        <v>690</v>
      </c>
      <c r="B672" s="3" t="s">
        <v>12</v>
      </c>
      <c r="C672" s="3" t="s">
        <v>6</v>
      </c>
      <c r="D672" s="4" t="str">
        <f>IFERROR(__xludf.DUMMYFUNCTION("GOOGLETRANSLATE(A672, ""en"", ""zh-CN"")"),"享受")</f>
        <v>享受</v>
      </c>
    </row>
    <row r="673" ht="15.75" customHeight="1">
      <c r="A673" s="3" t="s">
        <v>691</v>
      </c>
      <c r="B673" s="3" t="s">
        <v>8</v>
      </c>
      <c r="C673" s="3" t="s">
        <v>9</v>
      </c>
      <c r="D673" s="4" t="str">
        <f>IFERROR(__xludf.DUMMYFUNCTION("GOOGLETRANSLATE(A673, ""en"", ""zh-CN"")"),"激动")</f>
        <v>激动</v>
      </c>
    </row>
    <row r="674" ht="15.75" customHeight="1">
      <c r="A674" s="3" t="s">
        <v>692</v>
      </c>
      <c r="B674" s="3" t="s">
        <v>12</v>
      </c>
      <c r="C674" s="3" t="s">
        <v>9</v>
      </c>
      <c r="D674" s="4" t="str">
        <f>IFERROR(__xludf.DUMMYFUNCTION("GOOGLETRANSLATE(A674, ""en"", ""zh-CN"")"),"教育")</f>
        <v>教育</v>
      </c>
    </row>
    <row r="675" ht="15.75" customHeight="1">
      <c r="A675" s="3" t="s">
        <v>693</v>
      </c>
      <c r="B675" s="3" t="s">
        <v>22</v>
      </c>
      <c r="C675" s="3" t="s">
        <v>16</v>
      </c>
      <c r="D675" s="4" t="str">
        <f>IFERROR(__xludf.DUMMYFUNCTION("GOOGLETRANSLATE(A675, ""en"", ""zh-CN"")"),"巨大的")</f>
        <v>巨大的</v>
      </c>
    </row>
    <row r="676" ht="15.75" customHeight="1">
      <c r="A676" s="3" t="s">
        <v>694</v>
      </c>
      <c r="B676" s="3" t="s">
        <v>22</v>
      </c>
      <c r="C676" s="3" t="s">
        <v>6</v>
      </c>
      <c r="D676" s="4" t="str">
        <f>IFERROR(__xludf.DUMMYFUNCTION("GOOGLETRANSLATE(A676, ""en"", ""zh-CN"")"),"令人兴奋")</f>
        <v>令人兴奋</v>
      </c>
    </row>
    <row r="677" ht="15.75" customHeight="1">
      <c r="A677" s="3" t="s">
        <v>695</v>
      </c>
      <c r="B677" s="3" t="s">
        <v>22</v>
      </c>
      <c r="C677" s="3" t="s">
        <v>9</v>
      </c>
      <c r="D677" s="4" t="str">
        <f>IFERROR(__xludf.DUMMYFUNCTION("GOOGLETRANSLATE(A677, ""en"", ""zh-CN"")"),"受过教育")</f>
        <v>受过教育</v>
      </c>
    </row>
    <row r="678" ht="15.75" customHeight="1">
      <c r="A678" s="3" t="s">
        <v>696</v>
      </c>
      <c r="B678" s="3" t="s">
        <v>8</v>
      </c>
      <c r="C678" s="3" t="s">
        <v>16</v>
      </c>
      <c r="D678" s="4" t="str">
        <f>IFERROR(__xludf.DUMMYFUNCTION("GOOGLETRANSLATE(A678, ""en"", ""zh-CN"")"),"教育")</f>
        <v>教育</v>
      </c>
    </row>
    <row r="679" ht="15.75" customHeight="1">
      <c r="A679" s="3" t="s">
        <v>697</v>
      </c>
      <c r="B679" s="3" t="s">
        <v>8</v>
      </c>
      <c r="C679" s="3" t="s">
        <v>13</v>
      </c>
      <c r="D679" s="4" t="str">
        <f>IFERROR(__xludf.DUMMYFUNCTION("GOOGLETRANSLATE(A679, ""en"", ""zh-CN"")"),"询问")</f>
        <v>询问</v>
      </c>
    </row>
    <row r="680" ht="15.75" customHeight="1">
      <c r="A680" s="3" t="s">
        <v>698</v>
      </c>
      <c r="B680" s="3" t="s">
        <v>22</v>
      </c>
      <c r="C680" s="3" t="s">
        <v>9</v>
      </c>
      <c r="D680" s="4" t="str">
        <f>IFERROR(__xludf.DUMMYFUNCTION("GOOGLETRANSLATE(A680, ""en"", ""zh-CN"")"),"教育")</f>
        <v>教育</v>
      </c>
    </row>
    <row r="681" ht="15.75" customHeight="1">
      <c r="A681" s="3" t="s">
        <v>699</v>
      </c>
      <c r="B681" s="3" t="s">
        <v>12</v>
      </c>
      <c r="C681" s="3" t="s">
        <v>13</v>
      </c>
      <c r="D681" s="4" t="str">
        <f>IFERROR(__xludf.DUMMYFUNCTION("GOOGLETRANSLATE(A681, ""en"", ""zh-CN"")"),"确保")</f>
        <v>确保</v>
      </c>
    </row>
    <row r="682" ht="15.75" customHeight="1">
      <c r="A682" s="3" t="s">
        <v>700</v>
      </c>
      <c r="B682" s="3" t="s">
        <v>8</v>
      </c>
      <c r="C682" s="3" t="s">
        <v>16</v>
      </c>
      <c r="D682" s="4" t="str">
        <f>IFERROR(__xludf.DUMMYFUNCTION("GOOGLETRANSLATE(A682, ""en"", ""zh-CN"")"),"影响")</f>
        <v>影响</v>
      </c>
    </row>
    <row r="683" ht="15.75" customHeight="1">
      <c r="A683" s="3" t="s">
        <v>701</v>
      </c>
      <c r="B683" s="3" t="s">
        <v>12</v>
      </c>
      <c r="C683" s="3" t="s">
        <v>16</v>
      </c>
      <c r="D683" s="4" t="str">
        <f>IFERROR(__xludf.DUMMYFUNCTION("GOOGLETRANSLATE(A683, ""en"", ""zh-CN"")"),"进入")</f>
        <v>进入</v>
      </c>
    </row>
    <row r="684" ht="15.75" customHeight="1">
      <c r="A684" s="3" t="s">
        <v>702</v>
      </c>
      <c r="B684" s="3" t="s">
        <v>8</v>
      </c>
      <c r="C684" s="3" t="s">
        <v>9</v>
      </c>
      <c r="D684" s="4" t="str">
        <f>IFERROR(__xludf.DUMMYFUNCTION("GOOGLETRANSLATE(A684, ""en"", ""zh-CN"")"),"展览")</f>
        <v>展览</v>
      </c>
    </row>
    <row r="685" ht="15.75" customHeight="1">
      <c r="A685" s="3" t="s">
        <v>703</v>
      </c>
      <c r="B685" s="3" t="s">
        <v>22</v>
      </c>
      <c r="C685" s="3" t="s">
        <v>9</v>
      </c>
      <c r="D685" s="4" t="str">
        <f>IFERROR(__xludf.DUMMYFUNCTION("GOOGLETRANSLATE(A685, ""en"", ""zh-CN"")"),"有效的")</f>
        <v>有效的</v>
      </c>
    </row>
    <row r="686" ht="15.75" customHeight="1">
      <c r="A686" s="3" t="s">
        <v>704</v>
      </c>
      <c r="B686" s="3" t="s">
        <v>12</v>
      </c>
      <c r="C686" s="3" t="s">
        <v>9</v>
      </c>
      <c r="D686" s="4" t="str">
        <f>IFERROR(__xludf.DUMMYFUNCTION("GOOGLETRANSLATE(A686, ""en"", ""zh-CN"")"),"招待")</f>
        <v>招待</v>
      </c>
    </row>
    <row r="687" ht="15.75" customHeight="1">
      <c r="A687" s="3" t="s">
        <v>705</v>
      </c>
      <c r="B687" s="3" t="s">
        <v>12</v>
      </c>
      <c r="C687" s="3" t="s">
        <v>16</v>
      </c>
      <c r="D687" s="4" t="str">
        <f>IFERROR(__xludf.DUMMYFUNCTION("GOOGLETRANSLATE(A687, ""en"", ""zh-CN"")"),"存在")</f>
        <v>存在</v>
      </c>
    </row>
    <row r="688" ht="15.75" customHeight="1">
      <c r="A688" s="3" t="s">
        <v>706</v>
      </c>
      <c r="B688" s="3" t="s">
        <v>20</v>
      </c>
      <c r="C688" s="3" t="s">
        <v>9</v>
      </c>
      <c r="D688" s="4" t="str">
        <f>IFERROR(__xludf.DUMMYFUNCTION("GOOGLETRANSLATE(A688, ""en"", ""zh-CN"")"),"有效地")</f>
        <v>有效地</v>
      </c>
    </row>
    <row r="689" ht="15.75" customHeight="1">
      <c r="A689" s="3" t="s">
        <v>707</v>
      </c>
      <c r="B689" s="3" t="s">
        <v>8</v>
      </c>
      <c r="C689" s="3" t="s">
        <v>9</v>
      </c>
      <c r="D689" s="4" t="str">
        <f>IFERROR(__xludf.DUMMYFUNCTION("GOOGLETRANSLATE(A689, ""en"", ""zh-CN"")"),"娱乐")</f>
        <v>娱乐</v>
      </c>
    </row>
    <row r="690" ht="15.75" customHeight="1">
      <c r="A690" s="3" t="s">
        <v>708</v>
      </c>
      <c r="B690" s="3" t="s">
        <v>8</v>
      </c>
      <c r="C690" s="3" t="s">
        <v>13</v>
      </c>
      <c r="D690" s="4" t="str">
        <f>IFERROR(__xludf.DUMMYFUNCTION("GOOGLETRANSLATE(A690, ""en"", ""zh-CN"")"),"存在")</f>
        <v>存在</v>
      </c>
    </row>
    <row r="691" ht="15.75" customHeight="1">
      <c r="A691" s="3" t="s">
        <v>709</v>
      </c>
      <c r="B691" s="3" t="s">
        <v>22</v>
      </c>
      <c r="C691" s="3" t="s">
        <v>13</v>
      </c>
      <c r="D691" s="4" t="str">
        <f>IFERROR(__xludf.DUMMYFUNCTION("GOOGLETRANSLATE(A691, ""en"", ""zh-CN"")"),"高效的")</f>
        <v>高效的</v>
      </c>
    </row>
    <row r="692" ht="15.75" customHeight="1">
      <c r="A692" s="3" t="s">
        <v>710</v>
      </c>
      <c r="B692" s="3" t="s">
        <v>8</v>
      </c>
      <c r="C692" s="3" t="s">
        <v>13</v>
      </c>
      <c r="D692" s="4" t="str">
        <f>IFERROR(__xludf.DUMMYFUNCTION("GOOGLETRANSLATE(A692, ""en"", ""zh-CN"")"),"热情")</f>
        <v>热情</v>
      </c>
    </row>
    <row r="693" ht="15.75" customHeight="1">
      <c r="A693" s="3" t="s">
        <v>711</v>
      </c>
      <c r="B693" s="3" t="s">
        <v>12</v>
      </c>
      <c r="C693" s="3" t="s">
        <v>9</v>
      </c>
      <c r="D693" s="4" t="str">
        <f>IFERROR(__xludf.DUMMYFUNCTION("GOOGLETRANSLATE(A693, ""en"", ""zh-CN"")"),"扩张")</f>
        <v>扩张</v>
      </c>
    </row>
    <row r="694" ht="15.75" customHeight="1">
      <c r="A694" s="3" t="s">
        <v>712</v>
      </c>
      <c r="B694" s="3" t="s">
        <v>8</v>
      </c>
      <c r="C694" s="3" t="s">
        <v>9</v>
      </c>
      <c r="D694" s="4" t="str">
        <f>IFERROR(__xludf.DUMMYFUNCTION("GOOGLETRANSLATE(A694, ""en"", ""zh-CN"")"),"努力")</f>
        <v>努力</v>
      </c>
    </row>
    <row r="695" ht="15.75" customHeight="1">
      <c r="A695" s="3" t="s">
        <v>713</v>
      </c>
      <c r="B695" s="3" t="s">
        <v>22</v>
      </c>
      <c r="C695" s="3" t="s">
        <v>13</v>
      </c>
      <c r="D695" s="4" t="str">
        <f>IFERROR(__xludf.DUMMYFUNCTION("GOOGLETRANSLATE(A695, ""en"", ""zh-CN"")"),"热情的")</f>
        <v>热情的</v>
      </c>
    </row>
    <row r="696" ht="15.75" customHeight="1">
      <c r="A696" s="3" t="s">
        <v>714</v>
      </c>
      <c r="B696" s="3" t="s">
        <v>12</v>
      </c>
      <c r="C696" s="3" t="s">
        <v>16</v>
      </c>
      <c r="D696" s="4" t="str">
        <f>IFERROR(__xludf.DUMMYFUNCTION("GOOGLETRANSLATE(A696, ""en"", ""zh-CN"")"),"预计")</f>
        <v>预计</v>
      </c>
    </row>
    <row r="697" ht="15.75" customHeight="1">
      <c r="A697" s="3" t="s">
        <v>715</v>
      </c>
      <c r="B697" s="3" t="s">
        <v>8</v>
      </c>
      <c r="C697" s="3" t="s">
        <v>6</v>
      </c>
      <c r="D697" s="4" t="str">
        <f>IFERROR(__xludf.DUMMYFUNCTION("GOOGLETRANSLATE(A697, ""en"", ""zh-CN"")"),"蛋")</f>
        <v>蛋</v>
      </c>
    </row>
    <row r="698" ht="15.75" customHeight="1">
      <c r="A698" s="3" t="s">
        <v>716</v>
      </c>
      <c r="B698" s="3" t="s">
        <v>22</v>
      </c>
      <c r="C698" s="3" t="s">
        <v>13</v>
      </c>
      <c r="D698" s="4" t="str">
        <f>IFERROR(__xludf.DUMMYFUNCTION("GOOGLETRANSLATE(A698, ""en"", ""zh-CN"")"),"全部的")</f>
        <v>全部的</v>
      </c>
    </row>
    <row r="699" ht="15.75" customHeight="1">
      <c r="A699" s="3" t="s">
        <v>717</v>
      </c>
      <c r="B699" s="3" t="s">
        <v>8</v>
      </c>
      <c r="C699" s="3" t="s">
        <v>13</v>
      </c>
      <c r="D699" s="4" t="str">
        <f>IFERROR(__xludf.DUMMYFUNCTION("GOOGLETRANSLATE(A699, ""en"", ""zh-CN"")"),"期待")</f>
        <v>期待</v>
      </c>
    </row>
    <row r="700" ht="15.75" customHeight="1">
      <c r="A700" s="3" t="s">
        <v>718</v>
      </c>
      <c r="B700" s="3" t="s">
        <v>227</v>
      </c>
      <c r="C700" s="3" t="s">
        <v>6</v>
      </c>
      <c r="D700" s="4" t="str">
        <f>IFERROR(__xludf.DUMMYFUNCTION("GOOGLETRANSLATE(A700, ""en"", ""zh-CN"")"),"八")</f>
        <v>八</v>
      </c>
    </row>
    <row r="701" ht="15.75" customHeight="1">
      <c r="A701" s="3" t="s">
        <v>719</v>
      </c>
      <c r="B701" s="3" t="s">
        <v>20</v>
      </c>
      <c r="C701" s="3" t="s">
        <v>13</v>
      </c>
      <c r="D701" s="4" t="str">
        <f>IFERROR(__xludf.DUMMYFUNCTION("GOOGLETRANSLATE(A701, ""en"", ""zh-CN"")"),"完全")</f>
        <v>完全</v>
      </c>
    </row>
    <row r="702" ht="15.75" customHeight="1">
      <c r="A702" s="3" t="s">
        <v>720</v>
      </c>
      <c r="B702" s="3" t="s">
        <v>22</v>
      </c>
      <c r="C702" s="3" t="s">
        <v>9</v>
      </c>
      <c r="D702" s="4" t="str">
        <f>IFERROR(__xludf.DUMMYFUNCTION("GOOGLETRANSLATE(A702, ""en"", ""zh-CN"")"),"预期的")</f>
        <v>预期的</v>
      </c>
    </row>
    <row r="703" ht="15.75" customHeight="1">
      <c r="A703" s="3" t="s">
        <v>721</v>
      </c>
      <c r="B703" s="3" t="s">
        <v>227</v>
      </c>
      <c r="C703" s="3" t="s">
        <v>6</v>
      </c>
      <c r="D703" s="4" t="str">
        <f>IFERROR(__xludf.DUMMYFUNCTION("GOOGLETRANSLATE(A703, ""en"", ""zh-CN"")"),"十八")</f>
        <v>十八</v>
      </c>
    </row>
    <row r="704" ht="15.75" customHeight="1">
      <c r="A704" s="3" t="s">
        <v>722</v>
      </c>
      <c r="B704" s="3" t="s">
        <v>8</v>
      </c>
      <c r="C704" s="3" t="s">
        <v>9</v>
      </c>
      <c r="D704" s="4" t="str">
        <f>IFERROR(__xludf.DUMMYFUNCTION("GOOGLETRANSLATE(A704, ""en"", ""zh-CN"")"),"入口")</f>
        <v>入口</v>
      </c>
    </row>
    <row r="705" ht="15.75" customHeight="1">
      <c r="A705" s="3" t="s">
        <v>723</v>
      </c>
      <c r="B705" s="3" t="s">
        <v>8</v>
      </c>
      <c r="C705" s="3" t="s">
        <v>9</v>
      </c>
      <c r="D705" s="4" t="str">
        <f>IFERROR(__xludf.DUMMYFUNCTION("GOOGLETRANSLATE(A705, ""en"", ""zh-CN"")"),"远征")</f>
        <v>远征</v>
      </c>
    </row>
    <row r="706" ht="15.75" customHeight="1">
      <c r="A706" s="3" t="s">
        <v>724</v>
      </c>
      <c r="B706" s="3" t="s">
        <v>227</v>
      </c>
      <c r="C706" s="3" t="s">
        <v>6</v>
      </c>
      <c r="D706" s="4" t="str">
        <f>IFERROR(__xludf.DUMMYFUNCTION("GOOGLETRANSLATE(A706, ""en"", ""zh-CN"")"),"八十")</f>
        <v>八十</v>
      </c>
    </row>
    <row r="707" ht="15.75" customHeight="1">
      <c r="A707" s="3" t="s">
        <v>725</v>
      </c>
      <c r="B707" s="3" t="s">
        <v>8</v>
      </c>
      <c r="C707" s="3" t="s">
        <v>9</v>
      </c>
      <c r="D707" s="4" t="str">
        <f>IFERROR(__xludf.DUMMYFUNCTION("GOOGLETRANSLATE(A707, ""en"", ""zh-CN"")"),"入口")</f>
        <v>入口</v>
      </c>
    </row>
    <row r="708" ht="15.75" customHeight="1">
      <c r="A708" s="3" t="s">
        <v>726</v>
      </c>
      <c r="B708" s="3" t="s">
        <v>8</v>
      </c>
      <c r="C708" s="3" t="s">
        <v>13</v>
      </c>
      <c r="D708" s="4" t="str">
        <f>IFERROR(__xludf.DUMMYFUNCTION("GOOGLETRANSLATE(A708, ""en"", ""zh-CN"")"),"费用")</f>
        <v>费用</v>
      </c>
    </row>
    <row r="709" ht="15.75" customHeight="1">
      <c r="A709" s="3" t="s">
        <v>727</v>
      </c>
      <c r="B709" s="3" t="s">
        <v>8</v>
      </c>
      <c r="C709" s="3" t="s">
        <v>16</v>
      </c>
      <c r="D709" s="4" t="str">
        <f>IFERROR(__xludf.DUMMYFUNCTION("GOOGLETRANSLATE(A709, ""en"", ""zh-CN"")"),"环境")</f>
        <v>环境</v>
      </c>
    </row>
    <row r="710" ht="15.75" customHeight="1">
      <c r="A710" s="3" t="s">
        <v>728</v>
      </c>
      <c r="B710" s="3" t="s">
        <v>22</v>
      </c>
      <c r="C710" s="3" t="s">
        <v>6</v>
      </c>
      <c r="D710" s="4" t="str">
        <f>IFERROR(__xludf.DUMMYFUNCTION("GOOGLETRANSLATE(A710, ""en"", ""zh-CN"")"),"昂贵的")</f>
        <v>昂贵的</v>
      </c>
    </row>
    <row r="711" ht="15.75" customHeight="1">
      <c r="A711" s="3" t="s">
        <v>729</v>
      </c>
      <c r="B711" s="3" t="s">
        <v>22</v>
      </c>
      <c r="C711" s="3" t="s">
        <v>13</v>
      </c>
      <c r="D711" s="4" t="str">
        <f>IFERROR(__xludf.DUMMYFUNCTION("GOOGLETRANSLATE(A711, ""en"", ""zh-CN"")"),"老年")</f>
        <v>老年</v>
      </c>
    </row>
    <row r="712" ht="15.75" customHeight="1">
      <c r="A712" s="3" t="s">
        <v>730</v>
      </c>
      <c r="B712" s="3" t="s">
        <v>22</v>
      </c>
      <c r="C712" s="3" t="s">
        <v>9</v>
      </c>
      <c r="D712" s="4" t="str">
        <f>IFERROR(__xludf.DUMMYFUNCTION("GOOGLETRANSLATE(A712, ""en"", ""zh-CN"")"),"环境的")</f>
        <v>环境的</v>
      </c>
    </row>
    <row r="713" ht="15.75" customHeight="1">
      <c r="A713" s="3" t="s">
        <v>731</v>
      </c>
      <c r="B713" s="3" t="s">
        <v>12</v>
      </c>
      <c r="C713" s="3" t="s">
        <v>13</v>
      </c>
      <c r="D713" s="4" t="str">
        <f>IFERROR(__xludf.DUMMYFUNCTION("GOOGLETRANSLATE(A713, ""en"", ""zh-CN"")"),"选")</f>
        <v>选</v>
      </c>
    </row>
    <row r="714" ht="15.75" customHeight="1">
      <c r="A714" s="3" t="s">
        <v>732</v>
      </c>
      <c r="B714" s="3" t="s">
        <v>8</v>
      </c>
      <c r="C714" s="3" t="s">
        <v>9</v>
      </c>
      <c r="D714" s="4" t="str">
        <f>IFERROR(__xludf.DUMMYFUNCTION("GOOGLETRANSLATE(A714, ""en"", ""zh-CN"")"),"插曲")</f>
        <v>插曲</v>
      </c>
    </row>
    <row r="715" ht="15.75" customHeight="1">
      <c r="A715" s="3" t="s">
        <v>733</v>
      </c>
      <c r="B715" s="3" t="s">
        <v>22</v>
      </c>
      <c r="C715" s="3" t="s">
        <v>9</v>
      </c>
      <c r="D715" s="4" t="str">
        <f>IFERROR(__xludf.DUMMYFUNCTION("GOOGLETRANSLATE(A715, ""en"", ""zh-CN"")"),"有经验的")</f>
        <v>有经验的</v>
      </c>
    </row>
    <row r="716" ht="15.75" customHeight="1">
      <c r="A716" s="3" t="s">
        <v>734</v>
      </c>
      <c r="B716" s="3" t="s">
        <v>8</v>
      </c>
      <c r="C716" s="3" t="s">
        <v>9</v>
      </c>
      <c r="D716" s="4" t="str">
        <f>IFERROR(__xludf.DUMMYFUNCTION("GOOGLETRANSLATE(A716, ""en"", ""zh-CN"")"),"选举")</f>
        <v>选举</v>
      </c>
    </row>
    <row r="717" ht="15.75" customHeight="1">
      <c r="A717" s="3" t="s">
        <v>735</v>
      </c>
      <c r="B717" s="3" t="s">
        <v>22</v>
      </c>
      <c r="C717" s="3" t="s">
        <v>16</v>
      </c>
      <c r="D717" s="4" t="str">
        <f>IFERROR(__xludf.DUMMYFUNCTION("GOOGLETRANSLATE(A717, ""en"", ""zh-CN"")"),"电的")</f>
        <v>电的</v>
      </c>
    </row>
    <row r="718" ht="15.75" customHeight="1">
      <c r="A718" s="3" t="s">
        <v>736</v>
      </c>
      <c r="B718" s="3" t="s">
        <v>20</v>
      </c>
      <c r="C718" s="3" t="s">
        <v>9</v>
      </c>
      <c r="D718" s="4" t="str">
        <f>IFERROR(__xludf.DUMMYFUNCTION("GOOGLETRANSLATE(A718, ""en"", ""zh-CN"")"),"一样")</f>
        <v>一样</v>
      </c>
    </row>
    <row r="719" ht="15.75" customHeight="1">
      <c r="A719" s="3" t="s">
        <v>737</v>
      </c>
      <c r="B719" s="3" t="s">
        <v>22</v>
      </c>
      <c r="C719" s="3" t="s">
        <v>16</v>
      </c>
      <c r="D719" s="4" t="str">
        <f>IFERROR(__xludf.DUMMYFUNCTION("GOOGLETRANSLATE(A719, ""en"", ""zh-CN"")"),"电气")</f>
        <v>电气</v>
      </c>
    </row>
    <row r="720" ht="15.75" customHeight="1">
      <c r="A720" s="3" t="s">
        <v>738</v>
      </c>
      <c r="B720" s="3" t="s">
        <v>8</v>
      </c>
      <c r="C720" s="3" t="s">
        <v>16</v>
      </c>
      <c r="D720" s="4" t="str">
        <f>IFERROR(__xludf.DUMMYFUNCTION("GOOGLETRANSLATE(A720, ""en"", ""zh-CN"")"),"设备")</f>
        <v>设备</v>
      </c>
    </row>
    <row r="721" ht="15.75" customHeight="1">
      <c r="A721" s="3" t="s">
        <v>739</v>
      </c>
      <c r="B721" s="3" t="s">
        <v>12</v>
      </c>
      <c r="C721" s="3" t="s">
        <v>6</v>
      </c>
      <c r="D721" s="4" t="str">
        <f>IFERROR(__xludf.DUMMYFUNCTION("GOOGLETRANSLATE(A721, ""en"", ""zh-CN"")"),"解释")</f>
        <v>解释</v>
      </c>
    </row>
    <row r="722" ht="15.75" customHeight="1">
      <c r="A722" s="3" t="s">
        <v>740</v>
      </c>
      <c r="B722" s="3" t="s">
        <v>8</v>
      </c>
      <c r="C722" s="3" t="s">
        <v>16</v>
      </c>
      <c r="D722" s="4" t="str">
        <f>IFERROR(__xludf.DUMMYFUNCTION("GOOGLETRANSLATE(A722, ""en"", ""zh-CN"")"),"电")</f>
        <v>电</v>
      </c>
    </row>
    <row r="723" ht="15.75" customHeight="1">
      <c r="A723" s="3" t="s">
        <v>741</v>
      </c>
      <c r="B723" s="3" t="s">
        <v>8</v>
      </c>
      <c r="C723" s="3" t="s">
        <v>16</v>
      </c>
      <c r="D723" s="4" t="str">
        <f>IFERROR(__xludf.DUMMYFUNCTION("GOOGLETRANSLATE(A723, ""en"", ""zh-CN"")"),"错误")</f>
        <v>错误</v>
      </c>
    </row>
    <row r="724" ht="15.75" customHeight="1">
      <c r="A724" s="3" t="s">
        <v>742</v>
      </c>
      <c r="B724" s="3" t="s">
        <v>8</v>
      </c>
      <c r="C724" s="3" t="s">
        <v>16</v>
      </c>
      <c r="D724" s="4" t="str">
        <f>IFERROR(__xludf.DUMMYFUNCTION("GOOGLETRANSLATE(A724, ""en"", ""zh-CN"")"),"解释")</f>
        <v>解释</v>
      </c>
    </row>
    <row r="725" ht="15.75" customHeight="1">
      <c r="A725" s="3" t="s">
        <v>743</v>
      </c>
      <c r="B725" s="3" t="s">
        <v>22</v>
      </c>
      <c r="C725" s="3" t="s">
        <v>16</v>
      </c>
      <c r="D725" s="4" t="str">
        <f>IFERROR(__xludf.DUMMYFUNCTION("GOOGLETRANSLATE(A725, ""en"", ""zh-CN"")"),"电子的")</f>
        <v>电子的</v>
      </c>
    </row>
    <row r="726" ht="15.75" customHeight="1">
      <c r="A726" s="3" t="s">
        <v>744</v>
      </c>
      <c r="B726" s="3" t="s">
        <v>12</v>
      </c>
      <c r="C726" s="3" t="s">
        <v>9</v>
      </c>
      <c r="D726" s="4" t="str">
        <f>IFERROR(__xludf.DUMMYFUNCTION("GOOGLETRANSLATE(A726, ""en"", ""zh-CN"")"),"爆炸")</f>
        <v>爆炸</v>
      </c>
    </row>
    <row r="727" ht="15.75" customHeight="1">
      <c r="A727" s="3" t="s">
        <v>745</v>
      </c>
      <c r="B727" s="3" t="s">
        <v>8</v>
      </c>
      <c r="C727" s="3" t="s">
        <v>9</v>
      </c>
      <c r="D727" s="4" t="str">
        <f>IFERROR(__xludf.DUMMYFUNCTION("GOOGLETRANSLATE(A727, ""en"", ""zh-CN"")"),"元素")</f>
        <v>元素</v>
      </c>
    </row>
    <row r="728" ht="15.75" customHeight="1">
      <c r="A728" s="3" t="s">
        <v>746</v>
      </c>
      <c r="B728" s="3" t="s">
        <v>20</v>
      </c>
      <c r="C728" s="3" t="s">
        <v>16</v>
      </c>
      <c r="D728" s="4" t="str">
        <f>IFERROR(__xludf.DUMMYFUNCTION("GOOGLETRANSLATE(A728, ""en"", ""zh-CN"")"),"尤其")</f>
        <v>尤其</v>
      </c>
    </row>
    <row r="729" ht="15.75" customHeight="1">
      <c r="A729" s="3" t="s">
        <v>747</v>
      </c>
      <c r="B729" s="3" t="s">
        <v>8</v>
      </c>
      <c r="C729" s="3" t="s">
        <v>13</v>
      </c>
      <c r="D729" s="4" t="str">
        <f>IFERROR(__xludf.DUMMYFUNCTION("GOOGLETRANSLATE(A729, ""en"", ""zh-CN"")"),"勘探")</f>
        <v>勘探</v>
      </c>
    </row>
    <row r="730" ht="15.75" customHeight="1">
      <c r="A730" s="3" t="s">
        <v>748</v>
      </c>
      <c r="B730" s="3" t="s">
        <v>8</v>
      </c>
      <c r="C730" s="3" t="s">
        <v>6</v>
      </c>
      <c r="D730" s="4" t="str">
        <f>IFERROR(__xludf.DUMMYFUNCTION("GOOGLETRANSLATE(A730, ""en"", ""zh-CN"")"),"大象")</f>
        <v>大象</v>
      </c>
    </row>
    <row r="731" ht="15.75" customHeight="1">
      <c r="A731" s="3" t="s">
        <v>749</v>
      </c>
      <c r="B731" s="3" t="s">
        <v>8</v>
      </c>
      <c r="C731" s="3" t="s">
        <v>16</v>
      </c>
      <c r="D731" s="4" t="str">
        <f>IFERROR(__xludf.DUMMYFUNCTION("GOOGLETRANSLATE(A731, ""en"", ""zh-CN"")"),"散文")</f>
        <v>散文</v>
      </c>
    </row>
    <row r="732" ht="15.75" customHeight="1">
      <c r="A732" s="3" t="s">
        <v>750</v>
      </c>
      <c r="B732" s="3" t="s">
        <v>12</v>
      </c>
      <c r="C732" s="3" t="s">
        <v>9</v>
      </c>
      <c r="D732" s="4" t="str">
        <f>IFERROR(__xludf.DUMMYFUNCTION("GOOGLETRANSLATE(A732, ""en"", ""zh-CN"")"),"探索")</f>
        <v>探索</v>
      </c>
    </row>
    <row r="733" ht="15.75" customHeight="1">
      <c r="A733" s="3" t="s">
        <v>751</v>
      </c>
      <c r="B733" s="3" t="s">
        <v>227</v>
      </c>
      <c r="C733" s="3" t="s">
        <v>6</v>
      </c>
      <c r="D733" s="4" t="str">
        <f>IFERROR(__xludf.DUMMYFUNCTION("GOOGLETRANSLATE(A733, ""en"", ""zh-CN"")"),"十一")</f>
        <v>十一</v>
      </c>
    </row>
    <row r="734" ht="15.75" customHeight="1">
      <c r="A734" s="3" t="s">
        <v>752</v>
      </c>
      <c r="B734" s="3" t="s">
        <v>22</v>
      </c>
      <c r="C734" s="3" t="s">
        <v>9</v>
      </c>
      <c r="D734" s="4" t="str">
        <f>IFERROR(__xludf.DUMMYFUNCTION("GOOGLETRANSLATE(A734, ""en"", ""zh-CN"")"),"基本的")</f>
        <v>基本的</v>
      </c>
    </row>
    <row r="735" ht="15.75" customHeight="1">
      <c r="A735" s="3" t="s">
        <v>753</v>
      </c>
      <c r="B735" s="3" t="s">
        <v>8</v>
      </c>
      <c r="C735" s="3" t="s">
        <v>9</v>
      </c>
      <c r="D735" s="4" t="str">
        <f>IFERROR(__xludf.DUMMYFUNCTION("GOOGLETRANSLATE(A735, ""en"", ""zh-CN"")"),"爆炸")</f>
        <v>爆炸</v>
      </c>
    </row>
    <row r="736" ht="15.75" customHeight="1">
      <c r="A736" s="3" t="s">
        <v>754</v>
      </c>
      <c r="B736" s="3" t="s">
        <v>20</v>
      </c>
      <c r="C736" s="3" t="s">
        <v>6</v>
      </c>
      <c r="D736" s="4" t="str">
        <f>IFERROR(__xludf.DUMMYFUNCTION("GOOGLETRANSLATE(A736, ""en"", ""zh-CN"")"),"别的")</f>
        <v>别的</v>
      </c>
    </row>
    <row r="737" ht="15.75" customHeight="1">
      <c r="A737" s="3" t="s">
        <v>755</v>
      </c>
      <c r="B737" s="3" t="s">
        <v>12</v>
      </c>
      <c r="C737" s="3" t="s">
        <v>13</v>
      </c>
      <c r="D737" s="4" t="str">
        <f>IFERROR(__xludf.DUMMYFUNCTION("GOOGLETRANSLATE(A737, ""en"", ""zh-CN"")"),"建立")</f>
        <v>建立</v>
      </c>
    </row>
    <row r="738" ht="15.75" customHeight="1">
      <c r="A738" s="3" t="s">
        <v>756</v>
      </c>
      <c r="B738" s="3" t="s">
        <v>20</v>
      </c>
      <c r="C738" s="3" t="s">
        <v>13</v>
      </c>
      <c r="D738" s="4" t="str">
        <f>IFERROR(__xludf.DUMMYFUNCTION("GOOGLETRANSLATE(A738, ""en"", ""zh-CN"")"),"别处")</f>
        <v>别处</v>
      </c>
    </row>
    <row r="739" ht="15.75" customHeight="1">
      <c r="A739" s="3" t="s">
        <v>757</v>
      </c>
      <c r="B739" s="3" t="s">
        <v>8</v>
      </c>
      <c r="C739" s="3" t="s">
        <v>13</v>
      </c>
      <c r="D739" s="4" t="str">
        <f>IFERROR(__xludf.DUMMYFUNCTION("GOOGLETRANSLATE(A739, ""en"", ""zh-CN"")"),"财产")</f>
        <v>财产</v>
      </c>
    </row>
    <row r="740" ht="15.75" customHeight="1">
      <c r="A740" s="3" t="s">
        <v>758</v>
      </c>
      <c r="B740" s="3" t="s">
        <v>12</v>
      </c>
      <c r="C740" s="3" t="s">
        <v>13</v>
      </c>
      <c r="D740" s="4" t="str">
        <f>IFERROR(__xludf.DUMMYFUNCTION("GOOGLETRANSLATE(A740, ""en"", ""zh-CN"")"),"暴露")</f>
        <v>暴露</v>
      </c>
    </row>
    <row r="741" ht="15.75" customHeight="1">
      <c r="A741" s="3" t="s">
        <v>759</v>
      </c>
      <c r="B741" s="3" t="s">
        <v>12</v>
      </c>
      <c r="C741" s="3" t="s">
        <v>16</v>
      </c>
      <c r="D741" s="4" t="str">
        <f>IFERROR(__xludf.DUMMYFUNCTION("GOOGLETRANSLATE(A741, ""en"", ""zh-CN"")"),"表达")</f>
        <v>表达</v>
      </c>
    </row>
    <row r="742" ht="15.75" customHeight="1">
      <c r="A742" s="3" t="s">
        <v>760</v>
      </c>
      <c r="B742" s="3" t="s">
        <v>22</v>
      </c>
      <c r="C742" s="3" t="s">
        <v>9</v>
      </c>
      <c r="D742" s="4" t="str">
        <f>IFERROR(__xludf.DUMMYFUNCTION("GOOGLETRANSLATE(A742, ""en"", ""zh-CN"")"),"尴尬的")</f>
        <v>尴尬的</v>
      </c>
    </row>
    <row r="743" ht="15.75" customHeight="1">
      <c r="A743" s="3" t="s">
        <v>761</v>
      </c>
      <c r="B743" s="3" t="s">
        <v>22</v>
      </c>
      <c r="C743" s="3" t="s">
        <v>13</v>
      </c>
      <c r="D743" s="4" t="str">
        <f>IFERROR(__xludf.DUMMYFUNCTION("GOOGLETRANSLATE(A743, ""en"", ""zh-CN"")"),"道德")</f>
        <v>道德</v>
      </c>
    </row>
    <row r="744" ht="15.75" customHeight="1">
      <c r="A744" s="3" t="s">
        <v>762</v>
      </c>
      <c r="B744" s="3" t="s">
        <v>8</v>
      </c>
      <c r="C744" s="3" t="s">
        <v>16</v>
      </c>
      <c r="D744" s="4" t="str">
        <f>IFERROR(__xludf.DUMMYFUNCTION("GOOGLETRANSLATE(A744, ""en"", ""zh-CN"")"),"表达")</f>
        <v>表达</v>
      </c>
    </row>
    <row r="745" ht="15.75" customHeight="1">
      <c r="A745" s="3" t="s">
        <v>763</v>
      </c>
      <c r="B745" s="3" t="s">
        <v>22</v>
      </c>
      <c r="C745" s="3" t="s">
        <v>9</v>
      </c>
      <c r="D745" s="4" t="str">
        <f>IFERROR(__xludf.DUMMYFUNCTION("GOOGLETRANSLATE(A745, ""en"", ""zh-CN"")"),"尴尬")</f>
        <v>尴尬</v>
      </c>
    </row>
    <row r="746" ht="15.75" customHeight="1">
      <c r="A746" s="3" t="s">
        <v>764</v>
      </c>
      <c r="B746" s="3" t="s">
        <v>8</v>
      </c>
      <c r="C746" s="3" t="s">
        <v>6</v>
      </c>
      <c r="D746" s="4" t="str">
        <f>IFERROR(__xludf.DUMMYFUNCTION("GOOGLETRANSLATE(A746, ""en"", ""zh-CN"")"),"欧元")</f>
        <v>欧元</v>
      </c>
    </row>
    <row r="747" ht="15.75" customHeight="1">
      <c r="A747" s="3" t="s">
        <v>765</v>
      </c>
      <c r="B747" s="3" t="s">
        <v>12</v>
      </c>
      <c r="C747" s="3" t="s">
        <v>13</v>
      </c>
      <c r="D747" s="4" t="str">
        <f>IFERROR(__xludf.DUMMYFUNCTION("GOOGLETRANSLATE(A747, ""en"", ""zh-CN"")"),"延长")</f>
        <v>延长</v>
      </c>
    </row>
    <row r="748" ht="15.75" customHeight="1">
      <c r="A748" s="3" t="s">
        <v>766</v>
      </c>
      <c r="B748" s="3" t="s">
        <v>12</v>
      </c>
      <c r="C748" s="3" t="s">
        <v>13</v>
      </c>
      <c r="D748" s="4" t="str">
        <f>IFERROR(__xludf.DUMMYFUNCTION("GOOGLETRANSLATE(A748, ""en"", ""zh-CN"")"),"出现")</f>
        <v>出现</v>
      </c>
    </row>
    <row r="749" ht="15.75" customHeight="1">
      <c r="A749" s="3" t="s">
        <v>767</v>
      </c>
      <c r="B749" s="3" t="s">
        <v>12</v>
      </c>
      <c r="C749" s="3" t="s">
        <v>13</v>
      </c>
      <c r="D749" s="4" t="str">
        <f>IFERROR(__xludf.DUMMYFUNCTION("GOOGLETRANSLATE(A749, ""en"", ""zh-CN"")"),"评价")</f>
        <v>评价</v>
      </c>
    </row>
    <row r="750" ht="15.75" customHeight="1">
      <c r="A750" s="3" t="s">
        <v>768</v>
      </c>
      <c r="B750" s="3" t="s">
        <v>8</v>
      </c>
      <c r="C750" s="3" t="s">
        <v>13</v>
      </c>
      <c r="D750" s="4" t="str">
        <f>IFERROR(__xludf.DUMMYFUNCTION("GOOGLETRANSLATE(A750, ""en"", ""zh-CN"")"),"程度")</f>
        <v>程度</v>
      </c>
    </row>
    <row r="751" ht="15.75" customHeight="1">
      <c r="A751" s="3" t="s">
        <v>769</v>
      </c>
      <c r="B751" s="3" t="s">
        <v>8</v>
      </c>
      <c r="C751" s="3" t="s">
        <v>9</v>
      </c>
      <c r="D751" s="4" t="str">
        <f>IFERROR(__xludf.DUMMYFUNCTION("GOOGLETRANSLATE(A751, ""en"", ""zh-CN"")"),"紧急情况")</f>
        <v>紧急情况</v>
      </c>
    </row>
    <row r="752" ht="15.75" customHeight="1">
      <c r="A752" s="3" t="s">
        <v>770</v>
      </c>
      <c r="B752" s="3" t="s">
        <v>22</v>
      </c>
      <c r="C752" s="3" t="s">
        <v>13</v>
      </c>
      <c r="D752" s="4" t="str">
        <f>IFERROR(__xludf.DUMMYFUNCTION("GOOGLETRANSLATE(A752, ""en"", ""zh-CN"")"),"外部的")</f>
        <v>外部的</v>
      </c>
    </row>
    <row r="753" ht="15.75" customHeight="1">
      <c r="A753" s="3" t="s">
        <v>771</v>
      </c>
      <c r="B753" s="3" t="s">
        <v>8</v>
      </c>
      <c r="C753" s="3" t="s">
        <v>9</v>
      </c>
      <c r="D753" s="4" t="str">
        <f>IFERROR(__xludf.DUMMYFUNCTION("GOOGLETRANSLATE(A753, ""en"", ""zh-CN"")"),"情感")</f>
        <v>情感</v>
      </c>
    </row>
    <row r="754" ht="15.75" customHeight="1">
      <c r="A754" s="3" t="s">
        <v>772</v>
      </c>
      <c r="B754" s="3" t="s">
        <v>8</v>
      </c>
      <c r="C754" s="3" t="s">
        <v>6</v>
      </c>
      <c r="D754" s="4" t="str">
        <f>IFERROR(__xludf.DUMMYFUNCTION("GOOGLETRANSLATE(A754, ""en"", ""zh-CN"")"),"晚上")</f>
        <v>晚上</v>
      </c>
    </row>
    <row r="755" ht="15.75" customHeight="1">
      <c r="A755" s="3" t="s">
        <v>773</v>
      </c>
      <c r="B755" s="3" t="s">
        <v>22</v>
      </c>
      <c r="C755" s="3" t="s">
        <v>13</v>
      </c>
      <c r="D755" s="4" t="str">
        <f>IFERROR(__xludf.DUMMYFUNCTION("GOOGLETRANSLATE(A755, ""en"", ""zh-CN"")"),"情绪化")</f>
        <v>情绪化</v>
      </c>
    </row>
    <row r="756" ht="15.75" customHeight="1">
      <c r="A756" s="3" t="s">
        <v>774</v>
      </c>
      <c r="B756" s="3" t="s">
        <v>8</v>
      </c>
      <c r="C756" s="3" t="s">
        <v>6</v>
      </c>
      <c r="D756" s="4" t="str">
        <f>IFERROR(__xludf.DUMMYFUNCTION("GOOGLETRANSLATE(A756, ""en"", ""zh-CN"")"),"事件")</f>
        <v>事件</v>
      </c>
    </row>
    <row r="757" ht="15.75" customHeight="1">
      <c r="A757" s="3" t="s">
        <v>775</v>
      </c>
      <c r="B757" s="3" t="s">
        <v>22</v>
      </c>
      <c r="C757" s="3" t="s">
        <v>13</v>
      </c>
      <c r="D757" s="4" t="str">
        <f>IFERROR(__xludf.DUMMYFUNCTION("GOOGLETRANSLATE(A757, ""en"", ""zh-CN"")"),"非凡的")</f>
        <v>非凡的</v>
      </c>
    </row>
    <row r="758" ht="15.75" customHeight="1">
      <c r="A758" s="3" t="s">
        <v>776</v>
      </c>
      <c r="B758" s="3" t="s">
        <v>8</v>
      </c>
      <c r="C758" s="3" t="s">
        <v>13</v>
      </c>
      <c r="D758" s="4" t="str">
        <f>IFERROR(__xludf.DUMMYFUNCTION("GOOGLETRANSLATE(A758, ""en"", ""zh-CN"")"),"强调")</f>
        <v>强调</v>
      </c>
    </row>
    <row r="759" ht="15.75" customHeight="1">
      <c r="A759" s="3" t="s">
        <v>777</v>
      </c>
      <c r="B759" s="3" t="s">
        <v>20</v>
      </c>
      <c r="C759" s="3" t="s">
        <v>9</v>
      </c>
      <c r="D759" s="4" t="str">
        <f>IFERROR(__xludf.DUMMYFUNCTION("GOOGLETRANSLATE(A759, ""en"", ""zh-CN"")"),"最终")</f>
        <v>最终</v>
      </c>
    </row>
    <row r="760" ht="15.75" customHeight="1">
      <c r="A760" s="3" t="s">
        <v>778</v>
      </c>
      <c r="B760" s="3" t="s">
        <v>12</v>
      </c>
      <c r="C760" s="3" t="s">
        <v>13</v>
      </c>
      <c r="D760" s="4" t="str">
        <f>IFERROR(__xludf.DUMMYFUNCTION("GOOGLETRANSLATE(A760, ""en"", ""zh-CN"")"),"强调")</f>
        <v>强调</v>
      </c>
    </row>
    <row r="761" ht="15.75" customHeight="1">
      <c r="A761" s="3" t="s">
        <v>779</v>
      </c>
      <c r="B761" s="3" t="s">
        <v>20</v>
      </c>
      <c r="C761" s="3" t="s">
        <v>6</v>
      </c>
      <c r="D761" s="4" t="str">
        <f>IFERROR(__xludf.DUMMYFUNCTION("GOOGLETRANSLATE(A761, ""en"", ""zh-CN"")"),"曾经")</f>
        <v>曾经</v>
      </c>
    </row>
    <row r="762" ht="15.75" customHeight="1">
      <c r="A762" s="3" t="s">
        <v>780</v>
      </c>
      <c r="B762" s="3" t="s">
        <v>20</v>
      </c>
      <c r="C762" s="3" t="s">
        <v>16</v>
      </c>
      <c r="D762" s="4" t="str">
        <f>IFERROR(__xludf.DUMMYFUNCTION("GOOGLETRANSLATE(A762, ""en"", ""zh-CN"")"),"极其")</f>
        <v>极其</v>
      </c>
    </row>
    <row r="763" ht="15.75" customHeight="1">
      <c r="A763" s="3" t="s">
        <v>781</v>
      </c>
      <c r="B763" s="3" t="s">
        <v>12</v>
      </c>
      <c r="C763" s="3" t="s">
        <v>16</v>
      </c>
      <c r="D763" s="4" t="str">
        <f>IFERROR(__xludf.DUMMYFUNCTION("GOOGLETRANSLATE(A763, ""en"", ""zh-CN"")"),"采用")</f>
        <v>采用</v>
      </c>
    </row>
    <row r="764" ht="15.75" customHeight="1">
      <c r="A764" s="3" t="s">
        <v>782</v>
      </c>
      <c r="B764" s="3" t="s">
        <v>783</v>
      </c>
      <c r="C764" s="3" t="s">
        <v>6</v>
      </c>
      <c r="D764" s="4" t="str">
        <f>IFERROR(__xludf.DUMMYFUNCTION("GOOGLETRANSLATE(A764, ""en"", ""zh-CN"")"),"每一个")</f>
        <v>每一个</v>
      </c>
    </row>
    <row r="765" ht="15.75" customHeight="1">
      <c r="A765" s="3" t="s">
        <v>784</v>
      </c>
      <c r="B765" s="3" t="s">
        <v>8</v>
      </c>
      <c r="C765" s="3" t="s">
        <v>6</v>
      </c>
      <c r="D765" s="4" t="str">
        <f>IFERROR(__xludf.DUMMYFUNCTION("GOOGLETRANSLATE(A765, ""en"", ""zh-CN"")"),"眼睛")</f>
        <v>眼睛</v>
      </c>
    </row>
    <row r="766" ht="15.75" customHeight="1">
      <c r="A766" s="3" t="s">
        <v>785</v>
      </c>
      <c r="B766" s="3" t="s">
        <v>8</v>
      </c>
      <c r="C766" s="3" t="s">
        <v>16</v>
      </c>
      <c r="D766" s="4" t="str">
        <f>IFERROR(__xludf.DUMMYFUNCTION("GOOGLETRANSLATE(A766, ""en"", ""zh-CN"")"),"员工")</f>
        <v>员工</v>
      </c>
    </row>
    <row r="767" ht="15.75" customHeight="1">
      <c r="A767" s="3" t="s">
        <v>786</v>
      </c>
      <c r="B767" s="3" t="s">
        <v>146</v>
      </c>
      <c r="C767" s="3" t="s">
        <v>6</v>
      </c>
      <c r="D767" s="4" t="str">
        <f>IFERROR(__xludf.DUMMYFUNCTION("GOOGLETRANSLATE(A767, ""en"", ""zh-CN"")"),"大家")</f>
        <v>大家</v>
      </c>
    </row>
    <row r="768" ht="15.75" customHeight="1">
      <c r="A768" s="3" t="s">
        <v>787</v>
      </c>
      <c r="B768" s="3" t="s">
        <v>8</v>
      </c>
      <c r="C768" s="3" t="s">
        <v>9</v>
      </c>
      <c r="D768" s="4" t="str">
        <f>IFERROR(__xludf.DUMMYFUNCTION("GOOGLETRANSLATE(A768, ""en"", ""zh-CN"")"),"斗争")</f>
        <v>斗争</v>
      </c>
    </row>
    <row r="769" ht="15.75" customHeight="1">
      <c r="A769" s="3" t="s">
        <v>788</v>
      </c>
      <c r="B769" s="3" t="s">
        <v>8</v>
      </c>
      <c r="C769" s="3" t="s">
        <v>16</v>
      </c>
      <c r="D769" s="4" t="str">
        <f>IFERROR(__xludf.DUMMYFUNCTION("GOOGLETRANSLATE(A769, ""en"", ""zh-CN"")"),"森林")</f>
        <v>森林</v>
      </c>
    </row>
    <row r="770" ht="15.75" customHeight="1">
      <c r="A770" s="3" t="s">
        <v>789</v>
      </c>
      <c r="B770" s="3" t="s">
        <v>8</v>
      </c>
      <c r="C770" s="3" t="s">
        <v>13</v>
      </c>
      <c r="D770" s="4" t="str">
        <f>IFERROR(__xludf.DUMMYFUNCTION("GOOGLETRANSLATE(A770, ""en"", ""zh-CN"")"),"设施")</f>
        <v>设施</v>
      </c>
    </row>
    <row r="771" ht="15.75" customHeight="1">
      <c r="A771" s="3" t="s">
        <v>790</v>
      </c>
      <c r="B771" s="3" t="s">
        <v>20</v>
      </c>
      <c r="C771" s="3" t="s">
        <v>9</v>
      </c>
      <c r="D771" s="4" t="str">
        <f>IFERROR(__xludf.DUMMYFUNCTION("GOOGLETRANSLATE(A771, ""en"", ""zh-CN"")"),"永远")</f>
        <v>永远</v>
      </c>
    </row>
    <row r="772" ht="15.75" customHeight="1">
      <c r="A772" s="3" t="s">
        <v>791</v>
      </c>
      <c r="B772" s="3" t="s">
        <v>8</v>
      </c>
      <c r="C772" s="3" t="s">
        <v>6</v>
      </c>
      <c r="D772" s="4" t="str">
        <f>IFERROR(__xludf.DUMMYFUNCTION("GOOGLETRANSLATE(A772, ""en"", ""zh-CN"")"),"事实")</f>
        <v>事实</v>
      </c>
    </row>
    <row r="773" ht="15.75" customHeight="1">
      <c r="A773" s="3" t="s">
        <v>792</v>
      </c>
      <c r="B773" s="3" t="s">
        <v>12</v>
      </c>
      <c r="C773" s="3" t="s">
        <v>6</v>
      </c>
      <c r="D773" s="4" t="str">
        <f>IFERROR(__xludf.DUMMYFUNCTION("GOOGLETRANSLATE(A773, ""en"", ""zh-CN"")"),"忘记")</f>
        <v>忘记</v>
      </c>
    </row>
    <row r="774" ht="15.75" customHeight="1">
      <c r="A774" s="3" t="s">
        <v>793</v>
      </c>
      <c r="B774" s="3" t="s">
        <v>8</v>
      </c>
      <c r="C774" s="3" t="s">
        <v>16</v>
      </c>
      <c r="D774" s="4" t="str">
        <f>IFERROR(__xludf.DUMMYFUNCTION("GOOGLETRANSLATE(A774, ""en"", ""zh-CN"")"),"因素")</f>
        <v>因素</v>
      </c>
    </row>
    <row r="775" ht="15.75" customHeight="1">
      <c r="A775" s="3" t="s">
        <v>794</v>
      </c>
      <c r="B775" s="3" t="s">
        <v>12</v>
      </c>
      <c r="C775" s="3" t="s">
        <v>6</v>
      </c>
      <c r="D775" s="4" t="str">
        <f>IFERROR(__xludf.DUMMYFUNCTION("GOOGLETRANSLATE(A775, ""en"", ""zh-CN"")"),"充满")</f>
        <v>充满</v>
      </c>
    </row>
    <row r="776" ht="15.75" customHeight="1">
      <c r="A776" s="3" t="s">
        <v>795</v>
      </c>
      <c r="B776" s="3" t="s">
        <v>12</v>
      </c>
      <c r="C776" s="3" t="s">
        <v>13</v>
      </c>
      <c r="D776" s="4" t="str">
        <f>IFERROR(__xludf.DUMMYFUNCTION("GOOGLETRANSLATE(A776, ""en"", ""zh-CN"")"),"原谅")</f>
        <v>原谅</v>
      </c>
    </row>
    <row r="777" ht="15.75" customHeight="1">
      <c r="A777" s="3" t="s">
        <v>796</v>
      </c>
      <c r="B777" s="3" t="s">
        <v>8</v>
      </c>
      <c r="C777" s="3" t="s">
        <v>16</v>
      </c>
      <c r="D777" s="4" t="str">
        <f>IFERROR(__xludf.DUMMYFUNCTION("GOOGLETRANSLATE(A777, ""en"", ""zh-CN"")"),"工厂")</f>
        <v>工厂</v>
      </c>
    </row>
    <row r="778" ht="15.75" customHeight="1">
      <c r="A778" s="3" t="s">
        <v>797</v>
      </c>
      <c r="B778" s="3" t="s">
        <v>8</v>
      </c>
      <c r="C778" s="3" t="s">
        <v>16</v>
      </c>
      <c r="D778" s="4" t="str">
        <f>IFERROR(__xludf.DUMMYFUNCTION("GOOGLETRANSLATE(A778, ""en"", ""zh-CN"")"),"叉")</f>
        <v>叉</v>
      </c>
    </row>
    <row r="779" ht="15.75" customHeight="1">
      <c r="A779" s="3" t="s">
        <v>798</v>
      </c>
      <c r="B779" s="3" t="s">
        <v>12</v>
      </c>
      <c r="C779" s="3" t="s">
        <v>16</v>
      </c>
      <c r="D779" s="4" t="str">
        <f>IFERROR(__xludf.DUMMYFUNCTION("GOOGLETRANSLATE(A779, ""en"", ""zh-CN"")"),"失败")</f>
        <v>失败</v>
      </c>
    </row>
    <row r="780" ht="15.75" customHeight="1">
      <c r="A780" s="3" t="s">
        <v>799</v>
      </c>
      <c r="B780" s="3" t="s">
        <v>8</v>
      </c>
      <c r="C780" s="3" t="s">
        <v>13</v>
      </c>
      <c r="D780" s="4" t="str">
        <f>IFERROR(__xludf.DUMMYFUNCTION("GOOGLETRANSLATE(A780, ""en"", ""zh-CN"")"),"失败")</f>
        <v>失败</v>
      </c>
    </row>
    <row r="781" ht="15.75" customHeight="1">
      <c r="A781" s="3" t="s">
        <v>800</v>
      </c>
      <c r="B781" s="3" t="s">
        <v>20</v>
      </c>
      <c r="C781" s="3" t="s">
        <v>16</v>
      </c>
      <c r="D781" s="4" t="str">
        <f>IFERROR(__xludf.DUMMYFUNCTION("GOOGLETRANSLATE(A781, ""en"", ""zh-CN"")"),"最后")</f>
        <v>最后</v>
      </c>
    </row>
    <row r="782" ht="15.75" customHeight="1">
      <c r="A782" s="3" t="s">
        <v>801</v>
      </c>
      <c r="B782" s="3" t="s">
        <v>22</v>
      </c>
      <c r="C782" s="3" t="s">
        <v>16</v>
      </c>
      <c r="D782" s="4" t="str">
        <f>IFERROR(__xludf.DUMMYFUNCTION("GOOGLETRANSLATE(A782, ""en"", ""zh-CN"")"),"正式的")</f>
        <v>正式的</v>
      </c>
    </row>
    <row r="783" ht="15.75" customHeight="1">
      <c r="A783" s="3" t="s">
        <v>802</v>
      </c>
      <c r="B783" s="3" t="s">
        <v>22</v>
      </c>
      <c r="C783" s="3" t="s">
        <v>16</v>
      </c>
      <c r="D783" s="4" t="str">
        <f>IFERROR(__xludf.DUMMYFUNCTION("GOOGLETRANSLATE(A783, ""en"", ""zh-CN"")"),"公平的")</f>
        <v>公平的</v>
      </c>
    </row>
    <row r="784" ht="15.75" customHeight="1">
      <c r="A784" s="3" t="s">
        <v>803</v>
      </c>
      <c r="B784" s="3" t="s">
        <v>22</v>
      </c>
      <c r="C784" s="3" t="s">
        <v>13</v>
      </c>
      <c r="D784" s="4" t="str">
        <f>IFERROR(__xludf.DUMMYFUNCTION("GOOGLETRANSLATE(A784, ""en"", ""zh-CN"")"),"以前的")</f>
        <v>以前的</v>
      </c>
    </row>
    <row r="785" ht="15.75" customHeight="1">
      <c r="A785" s="3" t="s">
        <v>804</v>
      </c>
      <c r="B785" s="3" t="s">
        <v>20</v>
      </c>
      <c r="C785" s="3" t="s">
        <v>9</v>
      </c>
      <c r="D785" s="4" t="str">
        <f>IFERROR(__xludf.DUMMYFUNCTION("GOOGLETRANSLATE(A785, ""en"", ""zh-CN"")"),"相当")</f>
        <v>相当</v>
      </c>
    </row>
    <row r="786" ht="15.75" customHeight="1">
      <c r="A786" s="3" t="s">
        <v>805</v>
      </c>
      <c r="B786" s="3" t="s">
        <v>22</v>
      </c>
      <c r="C786" s="3" t="s">
        <v>9</v>
      </c>
      <c r="D786" s="4" t="str">
        <f>IFERROR(__xludf.DUMMYFUNCTION("GOOGLETRANSLATE(A786, ""en"", ""zh-CN"")"),"金融的")</f>
        <v>金融的</v>
      </c>
    </row>
    <row r="787" ht="15.75" customHeight="1">
      <c r="A787" s="3" t="s">
        <v>806</v>
      </c>
      <c r="B787" s="3" t="s">
        <v>20</v>
      </c>
      <c r="C787" s="3" t="s">
        <v>16</v>
      </c>
      <c r="D787" s="4" t="str">
        <f>IFERROR(__xludf.DUMMYFUNCTION("GOOGLETRANSLATE(A787, ""en"", ""zh-CN"")"),"幸运的是")</f>
        <v>幸运的是</v>
      </c>
    </row>
    <row r="788" ht="15.75" customHeight="1">
      <c r="A788" s="3" t="s">
        <v>807</v>
      </c>
      <c r="B788" s="3" t="s">
        <v>8</v>
      </c>
      <c r="C788" s="3" t="s">
        <v>13</v>
      </c>
      <c r="D788" s="4" t="str">
        <f>IFERROR(__xludf.DUMMYFUNCTION("GOOGLETRANSLATE(A788, ""en"", ""zh-CN"")"),"信仰")</f>
        <v>信仰</v>
      </c>
    </row>
    <row r="789" ht="15.75" customHeight="1">
      <c r="A789" s="3" t="s">
        <v>808</v>
      </c>
      <c r="B789" s="3" t="s">
        <v>12</v>
      </c>
      <c r="C789" s="3" t="s">
        <v>6</v>
      </c>
      <c r="D789" s="4" t="str">
        <f>IFERROR(__xludf.DUMMYFUNCTION("GOOGLETRANSLATE(A789, ""en"", ""zh-CN"")"),"寻找")</f>
        <v>寻找</v>
      </c>
    </row>
    <row r="790" ht="15.75" customHeight="1">
      <c r="A790" s="3" t="s">
        <v>809</v>
      </c>
      <c r="B790" s="3" t="s">
        <v>8</v>
      </c>
      <c r="C790" s="3" t="s">
        <v>13</v>
      </c>
      <c r="D790" s="4" t="str">
        <f>IFERROR(__xludf.DUMMYFUNCTION("GOOGLETRANSLATE(A790, ""en"", ""zh-CN"")"),"财富")</f>
        <v>财富</v>
      </c>
    </row>
    <row r="791" ht="15.75" customHeight="1">
      <c r="A791" s="3" t="s">
        <v>810</v>
      </c>
      <c r="B791" s="3" t="s">
        <v>8</v>
      </c>
      <c r="C791" s="3" t="s">
        <v>13</v>
      </c>
      <c r="D791" s="4" t="str">
        <f>IFERROR(__xludf.DUMMYFUNCTION("GOOGLETRANSLATE(A791, ""en"", ""zh-CN"")"),"发现")</f>
        <v>发现</v>
      </c>
    </row>
    <row r="792" ht="15.75" customHeight="1">
      <c r="A792" s="3" t="s">
        <v>811</v>
      </c>
      <c r="B792" s="3" t="s">
        <v>227</v>
      </c>
      <c r="C792" s="3" t="s">
        <v>6</v>
      </c>
      <c r="D792" s="4" t="str">
        <f>IFERROR(__xludf.DUMMYFUNCTION("GOOGLETRANSLATE(A792, ""en"", ""zh-CN"")"),"四十")</f>
        <v>四十</v>
      </c>
    </row>
    <row r="793" ht="15.75" customHeight="1">
      <c r="A793" s="3" t="s">
        <v>812</v>
      </c>
      <c r="B793" s="3" t="s">
        <v>22</v>
      </c>
      <c r="C793" s="3" t="s">
        <v>6</v>
      </c>
      <c r="D793" s="4" t="str">
        <f>IFERROR(__xludf.DUMMYFUNCTION("GOOGLETRANSLATE(A793, ""en"", ""zh-CN"")"),"错误的")</f>
        <v>错误的</v>
      </c>
    </row>
    <row r="794" ht="15.75" customHeight="1">
      <c r="A794" s="3" t="s">
        <v>813</v>
      </c>
      <c r="B794" s="3" t="s">
        <v>22</v>
      </c>
      <c r="C794" s="3" t="s">
        <v>6</v>
      </c>
      <c r="D794" s="4" t="str">
        <f>IFERROR(__xludf.DUMMYFUNCTION("GOOGLETRANSLATE(A794, ""en"", ""zh-CN"")"),"美好的")</f>
        <v>美好的</v>
      </c>
    </row>
    <row r="795" ht="15.75" customHeight="1">
      <c r="A795" s="3" t="s">
        <v>814</v>
      </c>
      <c r="B795" s="3" t="s">
        <v>22</v>
      </c>
      <c r="C795" s="3" t="s">
        <v>9</v>
      </c>
      <c r="D795" s="4" t="str">
        <f>IFERROR(__xludf.DUMMYFUNCTION("GOOGLETRANSLATE(A795, ""en"", ""zh-CN"")"),"熟悉的")</f>
        <v>熟悉的</v>
      </c>
    </row>
    <row r="796" ht="15.75" customHeight="1">
      <c r="A796" s="3" t="s">
        <v>815</v>
      </c>
      <c r="B796" s="3" t="s">
        <v>8</v>
      </c>
      <c r="C796" s="3" t="s">
        <v>16</v>
      </c>
      <c r="D796" s="4" t="str">
        <f>IFERROR(__xludf.DUMMYFUNCTION("GOOGLETRANSLATE(A796, ""en"", ""zh-CN"")"),"手指")</f>
        <v>手指</v>
      </c>
    </row>
    <row r="797" ht="15.75" customHeight="1">
      <c r="A797" s="3" t="s">
        <v>816</v>
      </c>
      <c r="B797" s="3" t="s">
        <v>12</v>
      </c>
      <c r="C797" s="3" t="s">
        <v>13</v>
      </c>
      <c r="D797" s="4" t="str">
        <f>IFERROR(__xludf.DUMMYFUNCTION("GOOGLETRANSLATE(A797, ""en"", ""zh-CN"")"),"成立")</f>
        <v>成立</v>
      </c>
    </row>
    <row r="798" ht="15.75" customHeight="1">
      <c r="A798" s="3" t="s">
        <v>817</v>
      </c>
      <c r="B798" s="3" t="s">
        <v>227</v>
      </c>
      <c r="C798" s="3" t="s">
        <v>6</v>
      </c>
      <c r="D798" s="4" t="str">
        <f>IFERROR(__xludf.DUMMYFUNCTION("GOOGLETRANSLATE(A798, ""en"", ""zh-CN"")"),"四个")</f>
        <v>四个</v>
      </c>
    </row>
    <row r="799" ht="15.75" customHeight="1">
      <c r="A799" s="3" t="s">
        <v>818</v>
      </c>
      <c r="B799" s="3" t="s">
        <v>22</v>
      </c>
      <c r="C799" s="3" t="s">
        <v>6</v>
      </c>
      <c r="D799" s="4" t="str">
        <f>IFERROR(__xludf.DUMMYFUNCTION("GOOGLETRANSLATE(A799, ""en"", ""zh-CN"")"),"著名的")</f>
        <v>著名的</v>
      </c>
    </row>
    <row r="800" ht="15.75" customHeight="1">
      <c r="A800" s="3" t="s">
        <v>819</v>
      </c>
      <c r="B800" s="3" t="s">
        <v>227</v>
      </c>
      <c r="C800" s="3" t="s">
        <v>6</v>
      </c>
      <c r="D800" s="4" t="str">
        <f>IFERROR(__xludf.DUMMYFUNCTION("GOOGLETRANSLATE(A800, ""en"", ""zh-CN"")"),"十四")</f>
        <v>十四</v>
      </c>
    </row>
    <row r="801" ht="15.75" customHeight="1">
      <c r="A801" s="3" t="s">
        <v>820</v>
      </c>
      <c r="B801" s="3" t="s">
        <v>8</v>
      </c>
      <c r="C801" s="3" t="s">
        <v>16</v>
      </c>
      <c r="D801" s="4" t="str">
        <f>IFERROR(__xludf.DUMMYFUNCTION("GOOGLETRANSLATE(A801, ""en"", ""zh-CN"")"),"扇子")</f>
        <v>扇子</v>
      </c>
    </row>
    <row r="802" ht="15.75" customHeight="1">
      <c r="A802" s="3" t="s">
        <v>821</v>
      </c>
      <c r="B802" s="3" t="s">
        <v>8</v>
      </c>
      <c r="C802" s="3" t="s">
        <v>13</v>
      </c>
      <c r="D802" s="4" t="str">
        <f>IFERROR(__xludf.DUMMYFUNCTION("GOOGLETRANSLATE(A802, ""en"", ""zh-CN"")"),"公司")</f>
        <v>公司</v>
      </c>
    </row>
    <row r="803" ht="15.75" customHeight="1">
      <c r="A803" s="3" t="s">
        <v>822</v>
      </c>
      <c r="B803" s="3" t="s">
        <v>227</v>
      </c>
      <c r="C803" s="3" t="s">
        <v>6</v>
      </c>
      <c r="D803" s="4" t="str">
        <f>IFERROR(__xludf.DUMMYFUNCTION("GOOGLETRANSLATE(A803, ""en"", ""zh-CN"")"),"第四")</f>
        <v>第四</v>
      </c>
    </row>
    <row r="804" ht="15.75" customHeight="1">
      <c r="A804" s="3" t="s">
        <v>823</v>
      </c>
      <c r="B804" s="3" t="s">
        <v>22</v>
      </c>
      <c r="C804" s="3" t="s">
        <v>6</v>
      </c>
      <c r="D804" s="4" t="str">
        <f>IFERROR(__xludf.DUMMYFUNCTION("GOOGLETRANSLATE(A804, ""en"", ""zh-CN"")"),"极好的")</f>
        <v>极好的</v>
      </c>
    </row>
    <row r="805" ht="15.75" customHeight="1">
      <c r="A805" s="3" t="s">
        <v>824</v>
      </c>
      <c r="B805" s="3" t="s">
        <v>20</v>
      </c>
      <c r="C805" s="3" t="s">
        <v>16</v>
      </c>
      <c r="D805" s="4" t="str">
        <f>IFERROR(__xludf.DUMMYFUNCTION("GOOGLETRANSLATE(A805, ""en"", ""zh-CN"")"),"首先")</f>
        <v>首先</v>
      </c>
    </row>
    <row r="806" ht="15.75" customHeight="1">
      <c r="A806" s="3" t="s">
        <v>825</v>
      </c>
      <c r="B806" s="3" t="s">
        <v>8</v>
      </c>
      <c r="C806" s="3" t="s">
        <v>13</v>
      </c>
      <c r="D806" s="4" t="str">
        <f>IFERROR(__xludf.DUMMYFUNCTION("GOOGLETRANSLATE(A806, ""en"", ""zh-CN"")"),"自由")</f>
        <v>自由</v>
      </c>
    </row>
    <row r="807" ht="15.75" customHeight="1">
      <c r="A807" s="3" t="s">
        <v>826</v>
      </c>
      <c r="B807" s="3" t="s">
        <v>8</v>
      </c>
      <c r="C807" s="3" t="s">
        <v>16</v>
      </c>
      <c r="D807" s="4" t="str">
        <f>IFERROR(__xludf.DUMMYFUNCTION("GOOGLETRANSLATE(A807, ""en"", ""zh-CN"")"),"钓鱼")</f>
        <v>钓鱼</v>
      </c>
    </row>
    <row r="808" ht="15.75" customHeight="1">
      <c r="A808" s="3" t="s">
        <v>827</v>
      </c>
      <c r="B808" s="3" t="s">
        <v>12</v>
      </c>
      <c r="C808" s="3" t="s">
        <v>9</v>
      </c>
      <c r="D808" s="4" t="str">
        <f>IFERROR(__xludf.DUMMYFUNCTION("GOOGLETRANSLATE(A808, ""en"", ""zh-CN"")"),"冻结")</f>
        <v>冻结</v>
      </c>
    </row>
    <row r="809" ht="15.75" customHeight="1">
      <c r="A809" s="3" t="s">
        <v>828</v>
      </c>
      <c r="B809" s="3" t="s">
        <v>8</v>
      </c>
      <c r="C809" s="3" t="s">
        <v>6</v>
      </c>
      <c r="D809" s="4" t="str">
        <f>IFERROR(__xludf.DUMMYFUNCTION("GOOGLETRANSLATE(A809, ""en"", ""zh-CN"")"),"农民")</f>
        <v>农民</v>
      </c>
    </row>
    <row r="810" ht="15.75" customHeight="1">
      <c r="A810" s="3" t="s">
        <v>829</v>
      </c>
      <c r="B810" s="3" t="s">
        <v>8</v>
      </c>
      <c r="C810" s="3" t="s">
        <v>13</v>
      </c>
      <c r="D810" s="4" t="str">
        <f>IFERROR(__xludf.DUMMYFUNCTION("GOOGLETRANSLATE(A810, ""en"", ""zh-CN"")"),"频率")</f>
        <v>频率</v>
      </c>
    </row>
    <row r="811" ht="15.75" customHeight="1">
      <c r="A811" s="3" t="s">
        <v>830</v>
      </c>
      <c r="B811" s="3" t="s">
        <v>8</v>
      </c>
      <c r="C811" s="3" t="s">
        <v>16</v>
      </c>
      <c r="D811" s="4" t="str">
        <f>IFERROR(__xludf.DUMMYFUNCTION("GOOGLETRANSLATE(A811, ""en"", ""zh-CN"")"),"农业")</f>
        <v>农业</v>
      </c>
    </row>
    <row r="812" ht="15.75" customHeight="1">
      <c r="A812" s="3" t="s">
        <v>831</v>
      </c>
      <c r="B812" s="3" t="s">
        <v>8</v>
      </c>
      <c r="C812" s="3" t="s">
        <v>9</v>
      </c>
      <c r="D812" s="4" t="str">
        <f>IFERROR(__xludf.DUMMYFUNCTION("GOOGLETRANSLATE(A812, ""en"", ""zh-CN"")"),"健康")</f>
        <v>健康</v>
      </c>
    </row>
    <row r="813" ht="15.75" customHeight="1">
      <c r="A813" s="3" t="s">
        <v>832</v>
      </c>
      <c r="B813" s="3" t="s">
        <v>20</v>
      </c>
      <c r="C813" s="3" t="s">
        <v>9</v>
      </c>
      <c r="D813" s="4" t="str">
        <f>IFERROR(__xludf.DUMMYFUNCTION("GOOGLETRANSLATE(A813, ""en"", ""zh-CN"")"),"频繁地")</f>
        <v>频繁地</v>
      </c>
    </row>
    <row r="814" ht="15.75" customHeight="1">
      <c r="A814" s="3" t="s">
        <v>833</v>
      </c>
      <c r="B814" s="3" t="s">
        <v>22</v>
      </c>
      <c r="C814" s="3" t="s">
        <v>9</v>
      </c>
      <c r="D814" s="4" t="str">
        <f>IFERROR(__xludf.DUMMYFUNCTION("GOOGLETRANSLATE(A814, ""en"", ""zh-CN"")"),"迷人")</f>
        <v>迷人</v>
      </c>
    </row>
    <row r="815" ht="15.75" customHeight="1">
      <c r="A815" s="3" t="s">
        <v>834</v>
      </c>
      <c r="B815" s="3" t="s">
        <v>227</v>
      </c>
      <c r="C815" s="3" t="s">
        <v>6</v>
      </c>
      <c r="D815" s="4" t="str">
        <f>IFERROR(__xludf.DUMMYFUNCTION("GOOGLETRANSLATE(A815, ""en"", ""zh-CN"")"),"五")</f>
        <v>五</v>
      </c>
    </row>
    <row r="816" ht="15.75" customHeight="1">
      <c r="A816" s="3" t="s">
        <v>835</v>
      </c>
      <c r="B816" s="3" t="s">
        <v>22</v>
      </c>
      <c r="C816" s="3" t="s">
        <v>16</v>
      </c>
      <c r="D816" s="4" t="str">
        <f>IFERROR(__xludf.DUMMYFUNCTION("GOOGLETRANSLATE(A816, ""en"", ""zh-CN"")"),"新鲜的")</f>
        <v>新鲜的</v>
      </c>
    </row>
    <row r="817" ht="15.75" customHeight="1">
      <c r="A817" s="3" t="s">
        <v>836</v>
      </c>
      <c r="B817" s="3" t="s">
        <v>8</v>
      </c>
      <c r="C817" s="3" t="s">
        <v>16</v>
      </c>
      <c r="D817" s="4" t="str">
        <f>IFERROR(__xludf.DUMMYFUNCTION("GOOGLETRANSLATE(A817, ""en"", ""zh-CN"")"),"时尚")</f>
        <v>时尚</v>
      </c>
    </row>
    <row r="818" ht="15.75" customHeight="1">
      <c r="A818" s="3" t="s">
        <v>837</v>
      </c>
      <c r="B818" s="3" t="s">
        <v>8</v>
      </c>
      <c r="C818" s="3" t="s">
        <v>6</v>
      </c>
      <c r="D818" s="4" t="str">
        <f>IFERROR(__xludf.DUMMYFUNCTION("GOOGLETRANSLATE(A818, ""en"", ""zh-CN"")"),"星期五")</f>
        <v>星期五</v>
      </c>
    </row>
    <row r="819" ht="15.75" customHeight="1">
      <c r="A819" s="3" t="s">
        <v>838</v>
      </c>
      <c r="B819" s="3" t="s">
        <v>22</v>
      </c>
      <c r="C819" s="3" t="s">
        <v>9</v>
      </c>
      <c r="D819" s="4" t="str">
        <f>IFERROR(__xludf.DUMMYFUNCTION("GOOGLETRANSLATE(A819, ""en"", ""zh-CN"")"),"时髦")</f>
        <v>时髦</v>
      </c>
    </row>
    <row r="820" ht="15.75" customHeight="1">
      <c r="A820" s="3" t="s">
        <v>839</v>
      </c>
      <c r="B820" s="3" t="s">
        <v>22</v>
      </c>
      <c r="C820" s="3" t="s">
        <v>9</v>
      </c>
      <c r="D820" s="4" t="str">
        <f>IFERROR(__xludf.DUMMYFUNCTION("GOOGLETRANSLATE(A820, ""en"", ""zh-CN"")"),"固定的")</f>
        <v>固定的</v>
      </c>
    </row>
    <row r="821" ht="15.75" customHeight="1">
      <c r="A821" s="3" t="s">
        <v>840</v>
      </c>
      <c r="B821" s="3" t="s">
        <v>8</v>
      </c>
      <c r="C821" s="3" t="s">
        <v>16</v>
      </c>
      <c r="D821" s="4" t="str">
        <f>IFERROR(__xludf.DUMMYFUNCTION("GOOGLETRANSLATE(A821, ""en"", ""zh-CN"")"),"冰箱")</f>
        <v>冰箱</v>
      </c>
    </row>
    <row r="822" ht="15.75" customHeight="1">
      <c r="A822" s="3" t="s">
        <v>841</v>
      </c>
      <c r="B822" s="3" t="s">
        <v>8</v>
      </c>
      <c r="C822" s="3" t="s">
        <v>9</v>
      </c>
      <c r="D822" s="4" t="str">
        <f>IFERROR(__xludf.DUMMYFUNCTION("GOOGLETRANSLATE(A822, ""en"", ""zh-CN"")"),"旗帜")</f>
        <v>旗帜</v>
      </c>
    </row>
    <row r="823" ht="15.75" customHeight="1">
      <c r="A823" s="3" t="s">
        <v>842</v>
      </c>
      <c r="B823" s="3" t="s">
        <v>8</v>
      </c>
      <c r="C823" s="3" t="s">
        <v>6</v>
      </c>
      <c r="D823" s="4" t="str">
        <f>IFERROR(__xludf.DUMMYFUNCTION("GOOGLETRANSLATE(A823, ""en"", ""zh-CN"")"),"朋友")</f>
        <v>朋友</v>
      </c>
    </row>
    <row r="824" ht="15.75" customHeight="1">
      <c r="A824" s="3" t="s">
        <v>843</v>
      </c>
      <c r="B824" s="3" t="s">
        <v>12</v>
      </c>
      <c r="C824" s="3" t="s">
        <v>9</v>
      </c>
      <c r="D824" s="4" t="str">
        <f>IFERROR(__xludf.DUMMYFUNCTION("GOOGLETRANSLATE(A824, ""en"", ""zh-CN"")"),"系")</f>
        <v>系</v>
      </c>
    </row>
    <row r="825" ht="15.75" customHeight="1">
      <c r="A825" s="3" t="s">
        <v>844</v>
      </c>
      <c r="B825" s="3" t="s">
        <v>8</v>
      </c>
      <c r="C825" s="3" t="s">
        <v>13</v>
      </c>
      <c r="D825" s="4" t="str">
        <f>IFERROR(__xludf.DUMMYFUNCTION("GOOGLETRANSLATE(A825, ""en"", ""zh-CN"")"),"火焰")</f>
        <v>火焰</v>
      </c>
    </row>
    <row r="826" ht="15.75" customHeight="1">
      <c r="A826" s="3" t="s">
        <v>845</v>
      </c>
      <c r="B826" s="3" t="s">
        <v>22</v>
      </c>
      <c r="C826" s="3" t="s">
        <v>6</v>
      </c>
      <c r="D826" s="4" t="str">
        <f>IFERROR(__xludf.DUMMYFUNCTION("GOOGLETRANSLATE(A826, ""en"", ""zh-CN"")"),"友好的")</f>
        <v>友好的</v>
      </c>
    </row>
    <row r="827" ht="15.75" customHeight="1">
      <c r="A827" s="3" t="s">
        <v>846</v>
      </c>
      <c r="B827" s="3" t="s">
        <v>8</v>
      </c>
      <c r="C827" s="3" t="s">
        <v>9</v>
      </c>
      <c r="D827" s="4" t="str">
        <f>IFERROR(__xludf.DUMMYFUNCTION("GOOGLETRANSLATE(A827, ""en"", ""zh-CN"")"),"友谊")</f>
        <v>友谊</v>
      </c>
    </row>
    <row r="828" ht="15.75" customHeight="1">
      <c r="A828" s="3" t="s">
        <v>847</v>
      </c>
      <c r="B828" s="3" t="s">
        <v>8</v>
      </c>
      <c r="C828" s="3" t="s">
        <v>6</v>
      </c>
      <c r="D828" s="4" t="str">
        <f>IFERROR(__xludf.DUMMYFUNCTION("GOOGLETRANSLATE(A828, ""en"", ""zh-CN"")"),"父亲")</f>
        <v>父亲</v>
      </c>
    </row>
    <row r="829" ht="15.75" customHeight="1">
      <c r="A829" s="3" t="s">
        <v>848</v>
      </c>
      <c r="B829" s="3" t="s">
        <v>12</v>
      </c>
      <c r="C829" s="3" t="s">
        <v>9</v>
      </c>
      <c r="D829" s="4" t="str">
        <f>IFERROR(__xludf.DUMMYFUNCTION("GOOGLETRANSLATE(A829, ""en"", ""zh-CN"")"),"吓唬")</f>
        <v>吓唬</v>
      </c>
    </row>
    <row r="830" ht="15.75" customHeight="1">
      <c r="A830" s="3" t="s">
        <v>849</v>
      </c>
      <c r="B830" s="3" t="s">
        <v>8</v>
      </c>
      <c r="C830" s="3" t="s">
        <v>13</v>
      </c>
      <c r="D830" s="4" t="str">
        <f>IFERROR(__xludf.DUMMYFUNCTION("GOOGLETRANSLATE(A830, ""en"", ""zh-CN"")"),"过错")</f>
        <v>过错</v>
      </c>
    </row>
    <row r="831" ht="15.75" customHeight="1">
      <c r="A831" s="3" t="s">
        <v>850</v>
      </c>
      <c r="B831" s="3" t="s">
        <v>22</v>
      </c>
      <c r="C831" s="3" t="s">
        <v>13</v>
      </c>
      <c r="D831" s="4" t="str">
        <f>IFERROR(__xludf.DUMMYFUNCTION("GOOGLETRANSLATE(A831, ""en"", ""zh-CN"")"),"灵活的")</f>
        <v>灵活的</v>
      </c>
    </row>
    <row r="832" ht="15.75" customHeight="1">
      <c r="A832" s="3" t="s">
        <v>851</v>
      </c>
      <c r="B832" s="3" t="s">
        <v>22</v>
      </c>
      <c r="C832" s="3" t="s">
        <v>9</v>
      </c>
      <c r="D832" s="4" t="str">
        <f>IFERROR(__xludf.DUMMYFUNCTION("GOOGLETRANSLATE(A832, ""en"", ""zh-CN"")"),"受惊")</f>
        <v>受惊</v>
      </c>
    </row>
    <row r="833" ht="15.75" customHeight="1">
      <c r="A833" s="3" t="s">
        <v>852</v>
      </c>
      <c r="B833" s="3" t="s">
        <v>8</v>
      </c>
      <c r="C833" s="3" t="s">
        <v>6</v>
      </c>
      <c r="D833" s="4" t="str">
        <f>IFERROR(__xludf.DUMMYFUNCTION("GOOGLETRANSLATE(A833, ""en"", ""zh-CN"")"),"航班")</f>
        <v>航班</v>
      </c>
    </row>
    <row r="834" ht="15.75" customHeight="1">
      <c r="A834" s="3" t="s">
        <v>853</v>
      </c>
      <c r="B834" s="3" t="s">
        <v>22</v>
      </c>
      <c r="C834" s="3" t="s">
        <v>9</v>
      </c>
      <c r="D834" s="4" t="str">
        <f>IFERROR(__xludf.DUMMYFUNCTION("GOOGLETRANSLATE(A834, ""en"", ""zh-CN"")"),"令人恐惧")</f>
        <v>令人恐惧</v>
      </c>
    </row>
    <row r="835" ht="15.75" customHeight="1">
      <c r="A835" s="3" t="s">
        <v>854</v>
      </c>
      <c r="B835" s="3" t="s">
        <v>12</v>
      </c>
      <c r="C835" s="3" t="s">
        <v>13</v>
      </c>
      <c r="D835" s="4" t="str">
        <f>IFERROR(__xludf.DUMMYFUNCTION("GOOGLETRANSLATE(A835, ""en"", ""zh-CN"")"),"漂浮")</f>
        <v>漂浮</v>
      </c>
    </row>
    <row r="836" ht="15.75" customHeight="1">
      <c r="A836" s="3" t="s">
        <v>855</v>
      </c>
      <c r="B836" s="3" t="s">
        <v>8</v>
      </c>
      <c r="C836" s="3" t="s">
        <v>16</v>
      </c>
      <c r="D836" s="4" t="str">
        <f>IFERROR(__xludf.DUMMYFUNCTION("GOOGLETRANSLATE(A836, ""en"", ""zh-CN"")"),"青蛙")</f>
        <v>青蛙</v>
      </c>
    </row>
    <row r="837" ht="15.75" customHeight="1">
      <c r="A837" s="3" t="s">
        <v>856</v>
      </c>
      <c r="B837" s="3" t="s">
        <v>88</v>
      </c>
      <c r="C837" s="3" t="s">
        <v>6</v>
      </c>
      <c r="D837" s="4" t="str">
        <f>IFERROR(__xludf.DUMMYFUNCTION("GOOGLETRANSLATE(A837, ""en"", ""zh-CN"")"),"从")</f>
        <v>从</v>
      </c>
    </row>
    <row r="838" ht="15.75" customHeight="1">
      <c r="A838" s="3" t="s">
        <v>857</v>
      </c>
      <c r="B838" s="3" t="s">
        <v>8</v>
      </c>
      <c r="C838" s="3" t="s">
        <v>13</v>
      </c>
      <c r="D838" s="4" t="str">
        <f>IFERROR(__xludf.DUMMYFUNCTION("GOOGLETRANSLATE(A838, ""en"", ""zh-CN"")"),"羽毛")</f>
        <v>羽毛</v>
      </c>
    </row>
    <row r="839" ht="15.75" customHeight="1">
      <c r="A839" s="3" t="s">
        <v>858</v>
      </c>
      <c r="B839" s="3" t="s">
        <v>8</v>
      </c>
      <c r="C839" s="3" t="s">
        <v>6</v>
      </c>
      <c r="D839" s="4" t="str">
        <f>IFERROR(__xludf.DUMMYFUNCTION("GOOGLETRANSLATE(A839, ""en"", ""zh-CN"")"),"地面")</f>
        <v>地面</v>
      </c>
    </row>
    <row r="840" ht="15.75" customHeight="1">
      <c r="A840" s="3" t="s">
        <v>859</v>
      </c>
      <c r="B840" s="3" t="s">
        <v>8</v>
      </c>
      <c r="C840" s="3" t="s">
        <v>9</v>
      </c>
      <c r="D840" s="4" t="str">
        <f>IFERROR(__xludf.DUMMYFUNCTION("GOOGLETRANSLATE(A840, ""en"", ""zh-CN"")"),"面粉")</f>
        <v>面粉</v>
      </c>
    </row>
    <row r="841" ht="15.75" customHeight="1">
      <c r="A841" s="3" t="s">
        <v>860</v>
      </c>
      <c r="B841" s="3" t="s">
        <v>22</v>
      </c>
      <c r="C841" s="3" t="s">
        <v>9</v>
      </c>
      <c r="D841" s="4" t="str">
        <f>IFERROR(__xludf.DUMMYFUNCTION("GOOGLETRANSLATE(A841, ""en"", ""zh-CN"")"),"冷冻")</f>
        <v>冷冻</v>
      </c>
    </row>
    <row r="842" ht="15.75" customHeight="1">
      <c r="A842" s="3" t="s">
        <v>861</v>
      </c>
      <c r="B842" s="3" t="s">
        <v>8</v>
      </c>
      <c r="C842" s="3" t="s">
        <v>6</v>
      </c>
      <c r="D842" s="4" t="str">
        <f>IFERROR(__xludf.DUMMYFUNCTION("GOOGLETRANSLATE(A842, ""en"", ""zh-CN"")"),"二月")</f>
        <v>二月</v>
      </c>
    </row>
    <row r="843" ht="15.75" customHeight="1">
      <c r="A843" s="3" t="s">
        <v>862</v>
      </c>
      <c r="B843" s="3" t="s">
        <v>8</v>
      </c>
      <c r="C843" s="3" t="s">
        <v>6</v>
      </c>
      <c r="D843" s="4" t="str">
        <f>IFERROR(__xludf.DUMMYFUNCTION("GOOGLETRANSLATE(A843, ""en"", ""zh-CN"")"),"水果")</f>
        <v>水果</v>
      </c>
    </row>
    <row r="844" ht="15.75" customHeight="1">
      <c r="A844" s="3" t="s">
        <v>863</v>
      </c>
      <c r="B844" s="3" t="s">
        <v>8</v>
      </c>
      <c r="C844" s="3" t="s">
        <v>13</v>
      </c>
      <c r="D844" s="3" t="str">
        <f>IFERROR(__xludf.DUMMYFUNCTION("GOOGLETRANSLATE(A844, ""en"", ""zh-CN"")"),"费用")</f>
        <v>费用</v>
      </c>
    </row>
    <row r="845" ht="15.75" customHeight="1">
      <c r="A845" s="3" t="s">
        <v>864</v>
      </c>
      <c r="B845" s="3" t="s">
        <v>8</v>
      </c>
      <c r="C845" s="3" t="s">
        <v>6</v>
      </c>
      <c r="D845" s="3" t="str">
        <f>IFERROR(__xludf.DUMMYFUNCTION("GOOGLETRANSLATE(A845, ""en"", ""zh-CN"")"),"花")</f>
        <v>花</v>
      </c>
    </row>
    <row r="846" ht="15.75" customHeight="1">
      <c r="A846" s="3" t="s">
        <v>865</v>
      </c>
      <c r="B846" s="3" t="s">
        <v>12</v>
      </c>
      <c r="C846" s="3" t="s">
        <v>9</v>
      </c>
      <c r="D846" s="3" t="str">
        <f>IFERROR(__xludf.DUMMYFUNCTION("GOOGLETRANSLATE(A846, ""en"", ""zh-CN"")"),"炒")</f>
        <v>炒</v>
      </c>
    </row>
    <row r="847" ht="15.75" customHeight="1">
      <c r="A847" s="3" t="s">
        <v>866</v>
      </c>
      <c r="B847" s="3" t="s">
        <v>8</v>
      </c>
      <c r="C847" s="3" t="s">
        <v>16</v>
      </c>
      <c r="D847" s="3" t="str">
        <f>IFERROR(__xludf.DUMMYFUNCTION("GOOGLETRANSLATE(A847, ""en"", ""zh-CN"")"),"流感")</f>
        <v>流感</v>
      </c>
    </row>
    <row r="848" ht="15.75" customHeight="1">
      <c r="A848" s="3" t="s">
        <v>867</v>
      </c>
      <c r="B848" s="3" t="s">
        <v>8</v>
      </c>
      <c r="C848" s="3" t="s">
        <v>13</v>
      </c>
      <c r="D848" s="3" t="str">
        <f>IFERROR(__xludf.DUMMYFUNCTION("GOOGLETRANSLATE(A848, ""en"", ""zh-CN"")"),"反馈")</f>
        <v>反馈</v>
      </c>
    </row>
    <row r="849" ht="15.75" customHeight="1">
      <c r="A849" s="3" t="s">
        <v>868</v>
      </c>
      <c r="B849" s="3" t="s">
        <v>22</v>
      </c>
      <c r="C849" s="3" t="s">
        <v>6</v>
      </c>
      <c r="D849" s="3" t="str">
        <f>IFERROR(__xludf.DUMMYFUNCTION("GOOGLETRANSLATE(A849, ""en"", ""zh-CN"")"),"满的")</f>
        <v>满的</v>
      </c>
    </row>
    <row r="850" ht="15.75" customHeight="1">
      <c r="A850" s="3" t="s">
        <v>869</v>
      </c>
      <c r="B850" s="3" t="s">
        <v>20</v>
      </c>
      <c r="C850" s="3" t="s">
        <v>13</v>
      </c>
      <c r="D850" s="3" t="str">
        <f>IFERROR(__xludf.DUMMYFUNCTION("GOOGLETRANSLATE(A850, ""en"", ""zh-CN"")"),"完全")</f>
        <v>完全</v>
      </c>
    </row>
    <row r="851" ht="15.75" customHeight="1">
      <c r="A851" s="3" t="s">
        <v>870</v>
      </c>
      <c r="B851" s="3" t="s">
        <v>8</v>
      </c>
      <c r="C851" s="3" t="s">
        <v>6</v>
      </c>
      <c r="D851" s="3" t="str">
        <f>IFERROR(__xludf.DUMMYFUNCTION("GOOGLETRANSLATE(A851, ""en"", ""zh-CN"")"),"感觉")</f>
        <v>感觉</v>
      </c>
    </row>
    <row r="852" ht="15.75" customHeight="1">
      <c r="A852" s="3" t="s">
        <v>871</v>
      </c>
      <c r="B852" s="3" t="s">
        <v>22</v>
      </c>
      <c r="C852" s="3" t="s">
        <v>13</v>
      </c>
      <c r="D852" s="3" t="str">
        <f>IFERROR(__xludf.DUMMYFUNCTION("GOOGLETRANSLATE(A852, ""en"", ""zh-CN"")"),"家伙")</f>
        <v>家伙</v>
      </c>
    </row>
    <row r="853" ht="15.75" customHeight="1">
      <c r="A853" s="3" t="s">
        <v>872</v>
      </c>
      <c r="B853" s="3" t="s">
        <v>22</v>
      </c>
      <c r="C853" s="3" t="s">
        <v>13</v>
      </c>
      <c r="D853" s="3" t="str">
        <f>IFERROR(__xludf.DUMMYFUNCTION("GOOGLETRANSLATE(A853, ""en"", ""zh-CN"")"),"折叠式的")</f>
        <v>折叠式的</v>
      </c>
    </row>
    <row r="854" ht="15.75" customHeight="1">
      <c r="A854" s="3" t="s">
        <v>873</v>
      </c>
      <c r="B854" s="3" t="s">
        <v>8</v>
      </c>
      <c r="C854" s="3" t="s">
        <v>9</v>
      </c>
      <c r="D854" s="3" t="str">
        <f>IFERROR(__xludf.DUMMYFUNCTION("GOOGLETRANSLATE(A854, ""en"", ""zh-CN"")"),"栅栏")</f>
        <v>栅栏</v>
      </c>
    </row>
    <row r="855" ht="15.75" customHeight="1">
      <c r="A855" s="3" t="s">
        <v>874</v>
      </c>
      <c r="B855" s="3" t="s">
        <v>22</v>
      </c>
      <c r="C855" s="3" t="s">
        <v>13</v>
      </c>
      <c r="D855" s="3" t="str">
        <f>IFERROR(__xludf.DUMMYFUNCTION("GOOGLETRANSLATE(A855, ""en"", ""zh-CN"")"),"基本的")</f>
        <v>基本的</v>
      </c>
    </row>
    <row r="856" ht="15.75" customHeight="1">
      <c r="A856" s="3" t="s">
        <v>875</v>
      </c>
      <c r="B856" s="3" t="s">
        <v>8</v>
      </c>
      <c r="C856" s="3" t="s">
        <v>6</v>
      </c>
      <c r="D856" s="3" t="str">
        <f>IFERROR(__xludf.DUMMYFUNCTION("GOOGLETRANSLATE(A856, ""en"", ""zh-CN"")"),"节日")</f>
        <v>节日</v>
      </c>
    </row>
    <row r="857" ht="15.75" customHeight="1">
      <c r="A857" s="3" t="s">
        <v>876</v>
      </c>
      <c r="B857" s="3" t="s">
        <v>12</v>
      </c>
      <c r="C857" s="3" t="s">
        <v>6</v>
      </c>
      <c r="D857" s="3" t="str">
        <f>IFERROR(__xludf.DUMMYFUNCTION("GOOGLETRANSLATE(A857, ""en"", ""zh-CN"")"),"跟随")</f>
        <v>跟随</v>
      </c>
    </row>
    <row r="858" ht="15.75" customHeight="1">
      <c r="A858" s="3" t="s">
        <v>877</v>
      </c>
      <c r="B858" s="3" t="s">
        <v>8</v>
      </c>
      <c r="C858" s="3" t="s">
        <v>13</v>
      </c>
      <c r="D858" s="3" t="str">
        <f>IFERROR(__xludf.DUMMYFUNCTION("GOOGLETRANSLATE(A858, ""en"", ""zh-CN"")"),"资金")</f>
        <v>资金</v>
      </c>
    </row>
    <row r="859" ht="15.75" customHeight="1">
      <c r="A859" s="3" t="s">
        <v>878</v>
      </c>
      <c r="B859" s="3" t="s">
        <v>22</v>
      </c>
      <c r="C859" s="3" t="s">
        <v>6</v>
      </c>
      <c r="D859" s="3" t="str">
        <f>IFERROR(__xludf.DUMMYFUNCTION("GOOGLETRANSLATE(A859, ""en"", ""zh-CN"")"),"有趣的")</f>
        <v>有趣的</v>
      </c>
    </row>
    <row r="860" ht="15.75" customHeight="1">
      <c r="A860" s="3" t="s">
        <v>879</v>
      </c>
      <c r="B860" s="3" t="s">
        <v>8</v>
      </c>
      <c r="C860" s="3" t="s">
        <v>16</v>
      </c>
      <c r="D860" s="3" t="str">
        <f>IFERROR(__xludf.DUMMYFUNCTION("GOOGLETRANSLATE(A860, ""en"", ""zh-CN"")"),"小说")</f>
        <v>小说</v>
      </c>
    </row>
    <row r="861" ht="15.75" customHeight="1">
      <c r="A861" s="3" t="s">
        <v>880</v>
      </c>
      <c r="B861" s="3" t="s">
        <v>8</v>
      </c>
      <c r="C861" s="3" t="s">
        <v>6</v>
      </c>
      <c r="D861" s="3" t="str">
        <f>IFERROR(__xludf.DUMMYFUNCTION("GOOGLETRANSLATE(A861, ""en"", ""zh-CN"")"),"食物")</f>
        <v>食物</v>
      </c>
    </row>
    <row r="862" ht="15.75" customHeight="1">
      <c r="A862" s="3" t="s">
        <v>881</v>
      </c>
      <c r="B862" s="3" t="s">
        <v>8</v>
      </c>
      <c r="C862" s="3" t="s">
        <v>9</v>
      </c>
      <c r="D862" s="3" t="str">
        <f>IFERROR(__xludf.DUMMYFUNCTION("GOOGLETRANSLATE(A862, ""en"", ""zh-CN"")"),"毛皮")</f>
        <v>毛皮</v>
      </c>
    </row>
    <row r="863" ht="15.75" customHeight="1">
      <c r="A863" s="3" t="s">
        <v>882</v>
      </c>
      <c r="B863" s="3" t="s">
        <v>8</v>
      </c>
      <c r="C863" s="3" t="s">
        <v>16</v>
      </c>
      <c r="D863" s="3" t="str">
        <f>IFERROR(__xludf.DUMMYFUNCTION("GOOGLETRANSLATE(A863, ""en"", ""zh-CN"")"),"场地")</f>
        <v>场地</v>
      </c>
    </row>
    <row r="864" ht="15.75" customHeight="1">
      <c r="A864" s="3" t="s">
        <v>883</v>
      </c>
      <c r="B864" s="3" t="s">
        <v>8</v>
      </c>
      <c r="C864" s="3" t="s">
        <v>6</v>
      </c>
      <c r="D864" s="3" t="str">
        <f>IFERROR(__xludf.DUMMYFUNCTION("GOOGLETRANSLATE(A864, ""en"", ""zh-CN"")"),"脚")</f>
        <v>脚</v>
      </c>
    </row>
    <row r="865" ht="15.75" customHeight="1">
      <c r="A865" s="3" t="s">
        <v>884</v>
      </c>
      <c r="B865" s="3" t="s">
        <v>8</v>
      </c>
      <c r="C865" s="3" t="s">
        <v>16</v>
      </c>
      <c r="D865" s="3" t="str">
        <f>IFERROR(__xludf.DUMMYFUNCTION("GOOGLETRANSLATE(A865, ""en"", ""zh-CN"")"),"家具")</f>
        <v>家具</v>
      </c>
    </row>
    <row r="866" ht="15.75" customHeight="1">
      <c r="A866" s="3" t="s">
        <v>885</v>
      </c>
      <c r="B866" s="3" t="s">
        <v>227</v>
      </c>
      <c r="C866" s="3" t="s">
        <v>6</v>
      </c>
      <c r="D866" s="3" t="str">
        <f>IFERROR(__xludf.DUMMYFUNCTION("GOOGLETRANSLATE(A866, ""en"", ""zh-CN"")"),"十五")</f>
        <v>十五</v>
      </c>
    </row>
    <row r="867" ht="15.75" customHeight="1">
      <c r="A867" s="3" t="s">
        <v>886</v>
      </c>
      <c r="B867" s="3" t="s">
        <v>8</v>
      </c>
      <c r="C867" s="3" t="s">
        <v>6</v>
      </c>
      <c r="D867" s="3" t="str">
        <f>IFERROR(__xludf.DUMMYFUNCTION("GOOGLETRANSLATE(A867, ""en"", ""zh-CN"")"),"足球")</f>
        <v>足球</v>
      </c>
    </row>
    <row r="868" ht="15.75" customHeight="1">
      <c r="A868" s="3" t="s">
        <v>887</v>
      </c>
      <c r="B868" s="3" t="s">
        <v>227</v>
      </c>
      <c r="C868" s="3" t="s">
        <v>6</v>
      </c>
      <c r="D868" s="3" t="str">
        <f>IFERROR(__xludf.DUMMYFUNCTION("GOOGLETRANSLATE(A868, ""en"", ""zh-CN"")"),"第五")</f>
        <v>第五</v>
      </c>
    </row>
    <row r="869" ht="15.75" customHeight="1">
      <c r="A869" s="3" t="s">
        <v>888</v>
      </c>
      <c r="B869" s="3" t="s">
        <v>88</v>
      </c>
      <c r="C869" s="3" t="s">
        <v>6</v>
      </c>
      <c r="D869" s="3" t="str">
        <f>IFERROR(__xludf.DUMMYFUNCTION("GOOGLETRANSLATE(A869, ""en"", ""zh-CN"")"),"为了")</f>
        <v>为了</v>
      </c>
    </row>
    <row r="870" ht="15.75" customHeight="1">
      <c r="A870" s="3" t="s">
        <v>889</v>
      </c>
      <c r="B870" s="3" t="s">
        <v>20</v>
      </c>
      <c r="C870" s="3" t="s">
        <v>13</v>
      </c>
      <c r="D870" s="3" t="str">
        <f>IFERROR(__xludf.DUMMYFUNCTION("GOOGLETRANSLATE(A870, ""en"", ""zh-CN"")"),"此外")</f>
        <v>此外</v>
      </c>
    </row>
    <row r="871" ht="15.75" customHeight="1">
      <c r="A871" s="3" t="s">
        <v>890</v>
      </c>
      <c r="B871" s="3" t="s">
        <v>227</v>
      </c>
      <c r="C871" s="3" t="s">
        <v>6</v>
      </c>
      <c r="D871" s="3" t="str">
        <f>IFERROR(__xludf.DUMMYFUNCTION("GOOGLETRANSLATE(A871, ""en"", ""zh-CN"")"),"五十")</f>
        <v>五十</v>
      </c>
    </row>
    <row r="872" ht="15.75" customHeight="1">
      <c r="A872" s="3" t="s">
        <v>891</v>
      </c>
      <c r="B872" s="3" t="s">
        <v>22</v>
      </c>
      <c r="C872" s="3" t="s">
        <v>16</v>
      </c>
      <c r="D872" s="3" t="str">
        <f>IFERROR(__xludf.DUMMYFUNCTION("GOOGLETRANSLATE(A872, ""en"", ""zh-CN"")"),"外国的")</f>
        <v>外国的</v>
      </c>
    </row>
    <row r="873" ht="15.75" customHeight="1">
      <c r="A873" s="3" t="s">
        <v>892</v>
      </c>
      <c r="B873" s="3" t="s">
        <v>8</v>
      </c>
      <c r="C873" s="3" t="s">
        <v>6</v>
      </c>
      <c r="D873" s="3" t="str">
        <f>IFERROR(__xludf.DUMMYFUNCTION("GOOGLETRANSLATE(A873, ""en"", ""zh-CN"")"),"女朋友")</f>
        <v>女朋友</v>
      </c>
    </row>
    <row r="874" ht="15.75" customHeight="1">
      <c r="A874" s="3" t="s">
        <v>893</v>
      </c>
      <c r="B874" s="3" t="s">
        <v>8</v>
      </c>
      <c r="C874" s="3" t="s">
        <v>6</v>
      </c>
      <c r="D874" s="3" t="str">
        <f>IFERROR(__xludf.DUMMYFUNCTION("GOOGLETRANSLATE(A874, ""en"", ""zh-CN"")"),"祖父母")</f>
        <v>祖父母</v>
      </c>
    </row>
    <row r="875" ht="15.75" customHeight="1">
      <c r="A875" s="3" t="s">
        <v>894</v>
      </c>
      <c r="B875" s="3" t="s">
        <v>8</v>
      </c>
      <c r="C875" s="3" t="s">
        <v>16</v>
      </c>
      <c r="D875" s="3" t="str">
        <f>IFERROR(__xludf.DUMMYFUNCTION("GOOGLETRANSLATE(A875, ""en"", ""zh-CN"")"),"画廊")</f>
        <v>画廊</v>
      </c>
    </row>
    <row r="876" ht="15.75" customHeight="1">
      <c r="A876" s="3" t="s">
        <v>895</v>
      </c>
      <c r="B876" s="3" t="s">
        <v>12</v>
      </c>
      <c r="C876" s="3" t="s">
        <v>6</v>
      </c>
      <c r="D876" s="3" t="str">
        <f>IFERROR(__xludf.DUMMYFUNCTION("GOOGLETRANSLATE(A876, ""en"", ""zh-CN"")"),"给")</f>
        <v>给</v>
      </c>
    </row>
    <row r="877" ht="15.75" customHeight="1">
      <c r="A877" s="3" t="s">
        <v>896</v>
      </c>
      <c r="B877" s="3" t="s">
        <v>8</v>
      </c>
      <c r="C877" s="3" t="s">
        <v>6</v>
      </c>
      <c r="D877" s="3" t="str">
        <f>IFERROR(__xludf.DUMMYFUNCTION("GOOGLETRANSLATE(A877, ""en"", ""zh-CN"")"),"游戏")</f>
        <v>游戏</v>
      </c>
    </row>
    <row r="878" ht="15.75" customHeight="1">
      <c r="A878" s="3" t="s">
        <v>897</v>
      </c>
      <c r="B878" s="3" t="s">
        <v>22</v>
      </c>
      <c r="C878" s="3" t="s">
        <v>9</v>
      </c>
      <c r="D878" s="3" t="str">
        <f>IFERROR(__xludf.DUMMYFUNCTION("GOOGLETRANSLATE(A878, ""en"", ""zh-CN"")"),"高兴的")</f>
        <v>高兴的</v>
      </c>
    </row>
    <row r="879" ht="15.75" customHeight="1">
      <c r="A879" s="3" t="s">
        <v>898</v>
      </c>
      <c r="B879" s="3" t="s">
        <v>8</v>
      </c>
      <c r="C879" s="3" t="s">
        <v>16</v>
      </c>
      <c r="D879" s="3" t="str">
        <f>IFERROR(__xludf.DUMMYFUNCTION("GOOGLETRANSLATE(A879, ""en"", ""zh-CN"")"),"草")</f>
        <v>草</v>
      </c>
    </row>
    <row r="880" ht="15.75" customHeight="1">
      <c r="A880" s="3" t="s">
        <v>899</v>
      </c>
      <c r="B880" s="3" t="s">
        <v>8</v>
      </c>
      <c r="C880" s="3" t="s">
        <v>13</v>
      </c>
      <c r="D880" s="3" t="str">
        <f>IFERROR(__xludf.DUMMYFUNCTION("GOOGLETRANSLATE(A880, ""en"", ""zh-CN"")"),"帮派")</f>
        <v>帮派</v>
      </c>
    </row>
    <row r="881" ht="15.75" customHeight="1">
      <c r="A881" s="3" t="s">
        <v>900</v>
      </c>
      <c r="B881" s="3" t="s">
        <v>8</v>
      </c>
      <c r="C881" s="3" t="s">
        <v>6</v>
      </c>
      <c r="D881" s="3" t="str">
        <f>IFERROR(__xludf.DUMMYFUNCTION("GOOGLETRANSLATE(A881, ""en"", ""zh-CN"")"),"玻璃")</f>
        <v>玻璃</v>
      </c>
    </row>
    <row r="882" ht="15.75" customHeight="1">
      <c r="A882" s="3" t="s">
        <v>901</v>
      </c>
      <c r="B882" s="3" t="s">
        <v>22</v>
      </c>
      <c r="C882" s="3" t="s">
        <v>9</v>
      </c>
      <c r="D882" s="3" t="str">
        <f>IFERROR(__xludf.DUMMYFUNCTION("GOOGLETRANSLATE(A882, ""en"", ""zh-CN"")"),"感激的")</f>
        <v>感激的</v>
      </c>
    </row>
    <row r="883" ht="15.75" customHeight="1">
      <c r="A883" s="3" t="s">
        <v>902</v>
      </c>
      <c r="B883" s="3" t="s">
        <v>8</v>
      </c>
      <c r="C883" s="3" t="s">
        <v>16</v>
      </c>
      <c r="D883" s="3" t="str">
        <f>IFERROR(__xludf.DUMMYFUNCTION("GOOGLETRANSLATE(A883, ""en"", ""zh-CN"")"),"差距")</f>
        <v>差距</v>
      </c>
    </row>
    <row r="884" ht="15.75" customHeight="1">
      <c r="A884" s="3" t="s">
        <v>903</v>
      </c>
      <c r="B884" s="3" t="s">
        <v>22</v>
      </c>
      <c r="C884" s="3" t="s">
        <v>9</v>
      </c>
      <c r="D884" s="3" t="str">
        <f>IFERROR(__xludf.DUMMYFUNCTION("GOOGLETRANSLATE(A884, ""en"", ""zh-CN"")"),"全球的")</f>
        <v>全球的</v>
      </c>
    </row>
    <row r="885" ht="15.75" customHeight="1">
      <c r="A885" s="3" t="s">
        <v>904</v>
      </c>
      <c r="B885" s="3" t="s">
        <v>22</v>
      </c>
      <c r="C885" s="3" t="s">
        <v>6</v>
      </c>
      <c r="D885" s="3" t="str">
        <f>IFERROR(__xludf.DUMMYFUNCTION("GOOGLETRANSLATE(A885, ""en"", ""zh-CN"")"),"伟大的")</f>
        <v>伟大的</v>
      </c>
    </row>
    <row r="886" ht="15.75" customHeight="1">
      <c r="A886" s="3" t="s">
        <v>905</v>
      </c>
      <c r="B886" s="3" t="s">
        <v>8</v>
      </c>
      <c r="C886" s="3" t="s">
        <v>9</v>
      </c>
      <c r="D886" s="3" t="str">
        <f>IFERROR(__xludf.DUMMYFUNCTION("GOOGLETRANSLATE(A886, ""en"", ""zh-CN"")"),"车库")</f>
        <v>车库</v>
      </c>
    </row>
    <row r="887" ht="15.75" customHeight="1">
      <c r="A887" s="3" t="s">
        <v>906</v>
      </c>
      <c r="B887" s="3" t="s">
        <v>8</v>
      </c>
      <c r="C887" s="3" t="s">
        <v>9</v>
      </c>
      <c r="D887" s="3" t="str">
        <f>IFERROR(__xludf.DUMMYFUNCTION("GOOGLETRANSLATE(A887, ""en"", ""zh-CN"")"),"手套")</f>
        <v>手套</v>
      </c>
    </row>
    <row r="888" ht="15.75" customHeight="1">
      <c r="A888" s="3" t="s">
        <v>907</v>
      </c>
      <c r="B888" s="3" t="s">
        <v>8</v>
      </c>
      <c r="C888" s="3" t="s">
        <v>6</v>
      </c>
      <c r="D888" s="3" t="str">
        <f>IFERROR(__xludf.DUMMYFUNCTION("GOOGLETRANSLATE(A888, ""en"", ""zh-CN"")"),"花园")</f>
        <v>花园</v>
      </c>
    </row>
    <row r="889" ht="15.75" customHeight="1">
      <c r="A889" s="3" t="s">
        <v>908</v>
      </c>
      <c r="B889" s="3" t="s">
        <v>12</v>
      </c>
      <c r="C889" s="3" t="s">
        <v>16</v>
      </c>
      <c r="D889" s="3" t="str">
        <f>IFERROR(__xludf.DUMMYFUNCTION("GOOGLETRANSLATE(A889, ""en"", ""zh-CN"")"),"迎接")</f>
        <v>迎接</v>
      </c>
    </row>
    <row r="890" ht="15.75" customHeight="1">
      <c r="A890" s="3" t="s">
        <v>909</v>
      </c>
      <c r="B890" s="3" t="s">
        <v>8</v>
      </c>
      <c r="C890" s="3" t="s">
        <v>16</v>
      </c>
      <c r="D890" s="3" t="str">
        <f>IFERROR(__xludf.DUMMYFUNCTION("GOOGLETRANSLATE(A890, ""en"", ""zh-CN"")"),"气体")</f>
        <v>气体</v>
      </c>
    </row>
    <row r="891" ht="15.75" customHeight="1">
      <c r="A891" s="3" t="s">
        <v>910</v>
      </c>
      <c r="B891" s="3" t="s">
        <v>8</v>
      </c>
      <c r="C891" s="3" t="s">
        <v>16</v>
      </c>
      <c r="D891" s="3" t="str">
        <f>IFERROR(__xludf.DUMMYFUNCTION("GOOGLETRANSLATE(A891, ""en"", ""zh-CN"")"),"目标")</f>
        <v>目标</v>
      </c>
    </row>
    <row r="892" ht="15.75" customHeight="1">
      <c r="A892" s="3" t="s">
        <v>911</v>
      </c>
      <c r="B892" s="3" t="s">
        <v>8</v>
      </c>
      <c r="C892" s="3" t="s">
        <v>16</v>
      </c>
      <c r="D892" s="3" t="str">
        <f>IFERROR(__xludf.DUMMYFUNCTION("GOOGLETRANSLATE(A892, ""en"", ""zh-CN"")"),"门")</f>
        <v>门</v>
      </c>
    </row>
    <row r="893" ht="15.75" customHeight="1">
      <c r="A893" s="3" t="s">
        <v>912</v>
      </c>
      <c r="B893" s="3" t="s">
        <v>8</v>
      </c>
      <c r="C893" s="3" t="s">
        <v>16</v>
      </c>
      <c r="D893" s="3" t="str">
        <f>IFERROR(__xludf.DUMMYFUNCTION("GOOGLETRANSLATE(A893, ""en"", ""zh-CN"")"),"上帝")</f>
        <v>上帝</v>
      </c>
    </row>
    <row r="894" ht="15.75" customHeight="1">
      <c r="A894" s="3" t="s">
        <v>913</v>
      </c>
      <c r="B894" s="3" t="s">
        <v>8</v>
      </c>
      <c r="C894" s="3" t="s">
        <v>16</v>
      </c>
      <c r="D894" s="3" t="str">
        <f>IFERROR(__xludf.DUMMYFUNCTION("GOOGLETRANSLATE(A894, ""en"", ""zh-CN"")"),"地面")</f>
        <v>地面</v>
      </c>
    </row>
    <row r="895" ht="15.75" customHeight="1">
      <c r="A895" s="3" t="s">
        <v>914</v>
      </c>
      <c r="B895" s="3" t="s">
        <v>12</v>
      </c>
      <c r="C895" s="3" t="s">
        <v>9</v>
      </c>
      <c r="D895" s="3" t="str">
        <f>IFERROR(__xludf.DUMMYFUNCTION("GOOGLETRANSLATE(A895, ""en"", ""zh-CN"")"),"收集")</f>
        <v>收集</v>
      </c>
    </row>
    <row r="896" ht="15.75" customHeight="1">
      <c r="A896" s="3" t="s">
        <v>915</v>
      </c>
      <c r="B896" s="3" t="s">
        <v>8</v>
      </c>
      <c r="C896" s="3" t="s">
        <v>6</v>
      </c>
      <c r="D896" s="3" t="str">
        <f>IFERROR(__xludf.DUMMYFUNCTION("GOOGLETRANSLATE(A896, ""en"", ""zh-CN"")"),"团体")</f>
        <v>团体</v>
      </c>
    </row>
    <row r="897" ht="15.75" customHeight="1">
      <c r="A897" s="3" t="s">
        <v>916</v>
      </c>
      <c r="B897" s="3" t="s">
        <v>22</v>
      </c>
      <c r="C897" s="3" t="s">
        <v>16</v>
      </c>
      <c r="D897" s="3" t="str">
        <f>IFERROR(__xludf.DUMMYFUNCTION("GOOGLETRANSLATE(A897, ""en"", ""zh-CN"")"),"一般的")</f>
        <v>一般的</v>
      </c>
    </row>
    <row r="898" ht="15.75" customHeight="1">
      <c r="A898" s="3" t="s">
        <v>917</v>
      </c>
      <c r="B898" s="3" t="s">
        <v>8</v>
      </c>
      <c r="C898" s="3" t="s">
        <v>16</v>
      </c>
      <c r="D898" s="3" t="str">
        <f>IFERROR(__xludf.DUMMYFUNCTION("GOOGLETRANSLATE(A898, ""en"", ""zh-CN"")"),"高尔夫球")</f>
        <v>高尔夫球</v>
      </c>
    </row>
    <row r="899" ht="15.75" customHeight="1">
      <c r="A899" s="3" t="s">
        <v>918</v>
      </c>
      <c r="B899" s="3" t="s">
        <v>12</v>
      </c>
      <c r="C899" s="3" t="s">
        <v>6</v>
      </c>
      <c r="D899" s="3" t="str">
        <f>IFERROR(__xludf.DUMMYFUNCTION("GOOGLETRANSLATE(A899, ""en"", ""zh-CN"")"),"生长")</f>
        <v>生长</v>
      </c>
    </row>
    <row r="900" ht="15.75" customHeight="1">
      <c r="A900" s="3" t="s">
        <v>919</v>
      </c>
      <c r="B900" s="3" t="s">
        <v>20</v>
      </c>
      <c r="C900" s="3" t="s">
        <v>9</v>
      </c>
      <c r="D900" s="3" t="str">
        <f>IFERROR(__xludf.DUMMYFUNCTION("GOOGLETRANSLATE(A900, ""en"", ""zh-CN"")"),"一般来说")</f>
        <v>一般来说</v>
      </c>
    </row>
    <row r="901" ht="15.75" customHeight="1">
      <c r="A901" s="3" t="s">
        <v>920</v>
      </c>
      <c r="B901" s="3" t="s">
        <v>8</v>
      </c>
      <c r="C901" s="3" t="s">
        <v>9</v>
      </c>
      <c r="D901" s="3" t="str">
        <f>IFERROR(__xludf.DUMMYFUNCTION("GOOGLETRANSLATE(A901, ""en"", ""zh-CN"")"),"生长")</f>
        <v>生长</v>
      </c>
    </row>
    <row r="902" ht="15.75" customHeight="1">
      <c r="A902" s="3" t="s">
        <v>921</v>
      </c>
      <c r="B902" s="3" t="s">
        <v>12</v>
      </c>
      <c r="C902" s="3" t="s">
        <v>13</v>
      </c>
      <c r="D902" s="3" t="str">
        <f>IFERROR(__xludf.DUMMYFUNCTION("GOOGLETRANSLATE(A902, ""en"", ""zh-CN"")"),"产生")</f>
        <v>产生</v>
      </c>
    </row>
    <row r="903" ht="15.75" customHeight="1">
      <c r="A903" s="3" t="s">
        <v>922</v>
      </c>
      <c r="B903" s="3" t="s">
        <v>923</v>
      </c>
      <c r="C903" s="3" t="s">
        <v>6</v>
      </c>
      <c r="D903" s="3" t="str">
        <f>IFERROR(__xludf.DUMMYFUNCTION("GOOGLETRANSLATE(A903, ""en"", ""zh-CN"")"),"再见")</f>
        <v>再见</v>
      </c>
    </row>
    <row r="904" ht="15.75" customHeight="1">
      <c r="A904" s="3" t="s">
        <v>924</v>
      </c>
      <c r="B904" s="3" t="s">
        <v>8</v>
      </c>
      <c r="C904" s="3" t="s">
        <v>9</v>
      </c>
      <c r="D904" s="3" t="str">
        <f>IFERROR(__xludf.DUMMYFUNCTION("GOOGLETRANSLATE(A904, ""en"", ""zh-CN"")"),"一代")</f>
        <v>一代</v>
      </c>
    </row>
    <row r="905" ht="15.75" customHeight="1">
      <c r="A905" s="3" t="s">
        <v>925</v>
      </c>
      <c r="B905" s="3" t="s">
        <v>8</v>
      </c>
      <c r="C905" s="3" t="s">
        <v>9</v>
      </c>
      <c r="D905" s="3" t="str">
        <f>IFERROR(__xludf.DUMMYFUNCTION("GOOGLETRANSLATE(A905, ""en"", ""zh-CN"")"),"商品")</f>
        <v>商品</v>
      </c>
    </row>
    <row r="906" ht="15.75" customHeight="1">
      <c r="A906" s="3" t="s">
        <v>926</v>
      </c>
      <c r="B906" s="3" t="s">
        <v>22</v>
      </c>
      <c r="C906" s="3" t="s">
        <v>9</v>
      </c>
      <c r="D906" s="3" t="str">
        <f>IFERROR(__xludf.DUMMYFUNCTION("GOOGLETRANSLATE(A906, ""en"", ""zh-CN"")"),"慷慨的")</f>
        <v>慷慨的</v>
      </c>
    </row>
    <row r="907" ht="15.75" customHeight="1">
      <c r="A907" s="3" t="s">
        <v>927</v>
      </c>
      <c r="B907" s="3" t="s">
        <v>12</v>
      </c>
      <c r="C907" s="3" t="s">
        <v>13</v>
      </c>
      <c r="D907" s="3" t="str">
        <f>IFERROR(__xludf.DUMMYFUNCTION("GOOGLETRANSLATE(A907, ""en"", ""zh-CN"")"),"治理")</f>
        <v>治理</v>
      </c>
    </row>
    <row r="908" ht="15.75" customHeight="1">
      <c r="A908" s="3" t="s">
        <v>928</v>
      </c>
      <c r="B908" s="3" t="s">
        <v>8</v>
      </c>
      <c r="C908" s="3" t="s">
        <v>13</v>
      </c>
      <c r="D908" s="3" t="str">
        <f>IFERROR(__xludf.DUMMYFUNCTION("GOOGLETRANSLATE(A908, ""en"", ""zh-CN"")"),"类型")</f>
        <v>类型</v>
      </c>
    </row>
    <row r="909" ht="15.75" customHeight="1">
      <c r="A909" s="3" t="s">
        <v>929</v>
      </c>
      <c r="B909" s="3" t="s">
        <v>8</v>
      </c>
      <c r="C909" s="3" t="s">
        <v>16</v>
      </c>
      <c r="D909" s="3" t="str">
        <f>IFERROR(__xludf.DUMMYFUNCTION("GOOGLETRANSLATE(A909, ""en"", ""zh-CN"")"),"政府")</f>
        <v>政府</v>
      </c>
    </row>
    <row r="910" ht="15.75" customHeight="1">
      <c r="A910" s="3" t="s">
        <v>930</v>
      </c>
      <c r="B910" s="3" t="s">
        <v>8</v>
      </c>
      <c r="C910" s="3" t="s">
        <v>16</v>
      </c>
      <c r="D910" s="3" t="str">
        <f>IFERROR(__xludf.DUMMYFUNCTION("GOOGLETRANSLATE(A910, ""en"", ""zh-CN"")"),"客人")</f>
        <v>客人</v>
      </c>
    </row>
    <row r="911" ht="15.75" customHeight="1">
      <c r="A911" s="3" t="s">
        <v>931</v>
      </c>
      <c r="B911" s="3" t="s">
        <v>22</v>
      </c>
      <c r="C911" s="3" t="s">
        <v>9</v>
      </c>
      <c r="D911" s="3" t="str">
        <f>IFERROR(__xludf.DUMMYFUNCTION("GOOGLETRANSLATE(A911, ""en"", ""zh-CN"")"),"温和的")</f>
        <v>温和的</v>
      </c>
    </row>
    <row r="912" ht="15.75" customHeight="1">
      <c r="A912" s="3" t="s">
        <v>932</v>
      </c>
      <c r="B912" s="3" t="s">
        <v>12</v>
      </c>
      <c r="C912" s="3" t="s">
        <v>13</v>
      </c>
      <c r="D912" s="3" t="str">
        <f>IFERROR(__xludf.DUMMYFUNCTION("GOOGLETRANSLATE(A912, ""en"", ""zh-CN"")"),"抓住")</f>
        <v>抓住</v>
      </c>
    </row>
    <row r="913" ht="15.75" customHeight="1">
      <c r="A913" s="3" t="s">
        <v>933</v>
      </c>
      <c r="B913" s="3" t="s">
        <v>8</v>
      </c>
      <c r="C913" s="3" t="s">
        <v>9</v>
      </c>
      <c r="D913" s="3" t="str">
        <f>IFERROR(__xludf.DUMMYFUNCTION("GOOGLETRANSLATE(A913, ""en"", ""zh-CN"")"),"绅士")</f>
        <v>绅士</v>
      </c>
    </row>
    <row r="914" ht="15.75" customHeight="1">
      <c r="A914" s="3" t="s">
        <v>934</v>
      </c>
      <c r="B914" s="3" t="s">
        <v>22</v>
      </c>
      <c r="C914" s="3" t="s">
        <v>9</v>
      </c>
      <c r="D914" s="3" t="str">
        <f>IFERROR(__xludf.DUMMYFUNCTION("GOOGLETRANSLATE(A914, ""en"", ""zh-CN"")"),"有罪的")</f>
        <v>有罪的</v>
      </c>
    </row>
    <row r="915" ht="15.75" customHeight="1">
      <c r="A915" s="3" t="s">
        <v>935</v>
      </c>
      <c r="B915" s="3" t="s">
        <v>8</v>
      </c>
      <c r="C915" s="3" t="s">
        <v>6</v>
      </c>
      <c r="D915" s="3" t="str">
        <f>IFERROR(__xludf.DUMMYFUNCTION("GOOGLETRANSLATE(A915, ""en"", ""zh-CN"")"),"地理")</f>
        <v>地理</v>
      </c>
    </row>
    <row r="916" ht="15.75" customHeight="1">
      <c r="A916" s="3" t="s">
        <v>936</v>
      </c>
      <c r="B916" s="3" t="s">
        <v>20</v>
      </c>
      <c r="C916" s="3" t="s">
        <v>13</v>
      </c>
      <c r="D916" s="3" t="str">
        <f>IFERROR(__xludf.DUMMYFUNCTION("GOOGLETRANSLATE(A916, ""en"", ""zh-CN"")"),"逐步地")</f>
        <v>逐步地</v>
      </c>
    </row>
    <row r="917" ht="15.75" customHeight="1">
      <c r="A917" s="3" t="s">
        <v>937</v>
      </c>
      <c r="B917" s="3" t="s">
        <v>8</v>
      </c>
      <c r="C917" s="3" t="s">
        <v>6</v>
      </c>
      <c r="D917" s="3" t="str">
        <f>IFERROR(__xludf.DUMMYFUNCTION("GOOGLETRANSLATE(A917, ""en"", ""zh-CN"")"),"吉他")</f>
        <v>吉他</v>
      </c>
    </row>
    <row r="918" ht="15.75" customHeight="1">
      <c r="A918" s="3" t="s">
        <v>938</v>
      </c>
      <c r="B918" s="3" t="s">
        <v>12</v>
      </c>
      <c r="C918" s="3" t="s">
        <v>6</v>
      </c>
      <c r="D918" s="3" t="str">
        <f>IFERROR(__xludf.DUMMYFUNCTION("GOOGLETRANSLATE(A918, ""en"", ""zh-CN"")"),"得到")</f>
        <v>得到</v>
      </c>
    </row>
    <row r="919" ht="15.75" customHeight="1">
      <c r="A919" s="3" t="s">
        <v>939</v>
      </c>
      <c r="B919" s="3" t="s">
        <v>8</v>
      </c>
      <c r="C919" s="3" t="s">
        <v>16</v>
      </c>
      <c r="D919" s="3" t="str">
        <f>IFERROR(__xludf.DUMMYFUNCTION("GOOGLETRANSLATE(A919, ""en"", ""zh-CN"")"),"枪")</f>
        <v>枪</v>
      </c>
    </row>
    <row r="920" ht="15.75" customHeight="1">
      <c r="A920" s="3" t="s">
        <v>940</v>
      </c>
      <c r="B920" s="3" t="s">
        <v>8</v>
      </c>
      <c r="C920" s="3" t="s">
        <v>9</v>
      </c>
      <c r="D920" s="3" t="str">
        <f>IFERROR(__xludf.DUMMYFUNCTION("GOOGLETRANSLATE(A920, ""en"", ""zh-CN"")"),"鬼")</f>
        <v>鬼</v>
      </c>
    </row>
    <row r="921" ht="15.75" customHeight="1">
      <c r="A921" s="3" t="s">
        <v>941</v>
      </c>
      <c r="B921" s="3" t="s">
        <v>8</v>
      </c>
      <c r="C921" s="3" t="s">
        <v>9</v>
      </c>
      <c r="D921" s="3" t="str">
        <f>IFERROR(__xludf.DUMMYFUNCTION("GOOGLETRANSLATE(A921, ""en"", ""zh-CN"")"),"粮食")</f>
        <v>粮食</v>
      </c>
    </row>
    <row r="922" ht="15.75" customHeight="1">
      <c r="A922" s="3" t="s">
        <v>942</v>
      </c>
      <c r="B922" s="3" t="s">
        <v>8</v>
      </c>
      <c r="C922" s="3" t="s">
        <v>16</v>
      </c>
      <c r="D922" s="3" t="str">
        <f>IFERROR(__xludf.DUMMYFUNCTION("GOOGLETRANSLATE(A922, ""en"", ""zh-CN"")"),"伙计")</f>
        <v>伙计</v>
      </c>
    </row>
    <row r="923" ht="15.75" customHeight="1">
      <c r="A923" s="3" t="s">
        <v>943</v>
      </c>
      <c r="B923" s="3" t="s">
        <v>22</v>
      </c>
      <c r="C923" s="3" t="s">
        <v>13</v>
      </c>
      <c r="D923" s="3" t="str">
        <f>IFERROR(__xludf.DUMMYFUNCTION("GOOGLETRANSLATE(A923, ""en"", ""zh-CN"")"),"盛大")</f>
        <v>盛大</v>
      </c>
    </row>
    <row r="924" ht="15.75" customHeight="1">
      <c r="A924" s="3" t="s">
        <v>944</v>
      </c>
      <c r="B924" s="3" t="s">
        <v>8</v>
      </c>
      <c r="C924" s="3" t="s">
        <v>6</v>
      </c>
      <c r="D924" s="3" t="str">
        <f>IFERROR(__xludf.DUMMYFUNCTION("GOOGLETRANSLATE(A924, ""en"", ""zh-CN"")"),"健身房")</f>
        <v>健身房</v>
      </c>
    </row>
    <row r="925" ht="15.75" customHeight="1">
      <c r="A925" s="3" t="s">
        <v>945</v>
      </c>
      <c r="B925" s="3" t="s">
        <v>8</v>
      </c>
      <c r="C925" s="3" t="s">
        <v>16</v>
      </c>
      <c r="D925" s="3" t="str">
        <f>IFERROR(__xludf.DUMMYFUNCTION("GOOGLETRANSLATE(A925, ""en"", ""zh-CN"")"),"礼物")</f>
        <v>礼物</v>
      </c>
    </row>
    <row r="926" ht="15.75" customHeight="1">
      <c r="A926" s="3" t="s">
        <v>946</v>
      </c>
      <c r="B926" s="3" t="s">
        <v>8</v>
      </c>
      <c r="C926" s="3" t="s">
        <v>6</v>
      </c>
      <c r="D926" s="3" t="str">
        <f>IFERROR(__xludf.DUMMYFUNCTION("GOOGLETRANSLATE(A926, ""en"", ""zh-CN"")"),"祖父")</f>
        <v>祖父</v>
      </c>
    </row>
    <row r="927" ht="15.75" customHeight="1">
      <c r="A927" s="3" t="s">
        <v>947</v>
      </c>
      <c r="B927" s="3" t="s">
        <v>8</v>
      </c>
      <c r="C927" s="3" t="s">
        <v>6</v>
      </c>
      <c r="D927" s="3" t="str">
        <f>IFERROR(__xludf.DUMMYFUNCTION("GOOGLETRANSLATE(A927, ""en"", ""zh-CN"")"),"女孩")</f>
        <v>女孩</v>
      </c>
    </row>
    <row r="928" ht="15.75" customHeight="1">
      <c r="A928" s="3" t="s">
        <v>948</v>
      </c>
      <c r="B928" s="3" t="s">
        <v>8</v>
      </c>
      <c r="C928" s="3" t="s">
        <v>6</v>
      </c>
      <c r="D928" s="3" t="str">
        <f>IFERROR(__xludf.DUMMYFUNCTION("GOOGLETRANSLATE(A928, ""en"", ""zh-CN"")"),"祖母")</f>
        <v>祖母</v>
      </c>
    </row>
    <row r="929" ht="15.75" customHeight="1">
      <c r="A929" s="3" t="s">
        <v>949</v>
      </c>
      <c r="B929" s="3" t="s">
        <v>8</v>
      </c>
      <c r="C929" s="3" t="s">
        <v>16</v>
      </c>
      <c r="D929" s="3" t="str">
        <f>IFERROR(__xludf.DUMMYFUNCTION("GOOGLETRANSLATE(A929, ""en"", ""zh-CN"")"),"习惯")</f>
        <v>习惯</v>
      </c>
    </row>
    <row r="930" ht="15.75" customHeight="1">
      <c r="A930" s="3" t="s">
        <v>950</v>
      </c>
      <c r="B930" s="3" t="s">
        <v>8</v>
      </c>
      <c r="C930" s="3" t="s">
        <v>13</v>
      </c>
      <c r="D930" s="3" t="str">
        <f>IFERROR(__xludf.DUMMYFUNCTION("GOOGLETRANSLATE(A930, ""en"", ""zh-CN"")"),"脚跟")</f>
        <v>脚跟</v>
      </c>
    </row>
    <row r="931" ht="15.75" customHeight="1">
      <c r="A931" s="3" t="s">
        <v>951</v>
      </c>
      <c r="B931" s="3" t="s">
        <v>22</v>
      </c>
      <c r="C931" s="3" t="s">
        <v>13</v>
      </c>
      <c r="D931" s="3" t="str">
        <f>IFERROR(__xludf.DUMMYFUNCTION("GOOGLETRANSLATE(A931, ""en"", ""zh-CN"")"),"空洞的")</f>
        <v>空洞的</v>
      </c>
    </row>
    <row r="932" ht="15.75" customHeight="1">
      <c r="A932" s="3" t="s">
        <v>952</v>
      </c>
      <c r="B932" s="3" t="s">
        <v>8</v>
      </c>
      <c r="C932" s="3" t="s">
        <v>6</v>
      </c>
      <c r="D932" s="3" t="str">
        <f>IFERROR(__xludf.DUMMYFUNCTION("GOOGLETRANSLATE(A932, ""en"", ""zh-CN"")"),"头发")</f>
        <v>头发</v>
      </c>
    </row>
    <row r="933" ht="15.75" customHeight="1">
      <c r="A933" s="3" t="s">
        <v>953</v>
      </c>
      <c r="B933" s="3" t="s">
        <v>8</v>
      </c>
      <c r="C933" s="3" t="s">
        <v>16</v>
      </c>
      <c r="D933" s="3" t="str">
        <f>IFERROR(__xludf.DUMMYFUNCTION("GOOGLETRANSLATE(A933, ""en"", ""zh-CN"")"),"高度")</f>
        <v>高度</v>
      </c>
    </row>
    <row r="934" ht="15.75" customHeight="1">
      <c r="A934" s="3" t="s">
        <v>954</v>
      </c>
      <c r="B934" s="3" t="s">
        <v>22</v>
      </c>
      <c r="C934" s="3" t="s">
        <v>13</v>
      </c>
      <c r="D934" s="3" t="str">
        <f>IFERROR(__xludf.DUMMYFUNCTION("GOOGLETRANSLATE(A934, ""en"", ""zh-CN"")"),"圣")</f>
        <v>圣</v>
      </c>
    </row>
    <row r="935" ht="15.75" customHeight="1">
      <c r="A935" s="3" t="s">
        <v>955</v>
      </c>
      <c r="B935" s="3" t="s">
        <v>8</v>
      </c>
      <c r="C935" s="3" t="s">
        <v>9</v>
      </c>
      <c r="D935" s="3" t="str">
        <f>IFERROR(__xludf.DUMMYFUNCTION("GOOGLETRANSLATE(A935, ""en"", ""zh-CN"")"),"直升机")</f>
        <v>直升机</v>
      </c>
    </row>
    <row r="936" ht="15.75" customHeight="1">
      <c r="A936" s="3" t="s">
        <v>956</v>
      </c>
      <c r="B936" s="3" t="s">
        <v>8</v>
      </c>
      <c r="C936" s="3" t="s">
        <v>16</v>
      </c>
      <c r="D936" s="3" t="str">
        <f>IFERROR(__xludf.DUMMYFUNCTION("GOOGLETRANSLATE(A936, ""en"", ""zh-CN"")"),"大厅")</f>
        <v>大厅</v>
      </c>
    </row>
    <row r="937" ht="15.75" customHeight="1">
      <c r="A937" s="3" t="s">
        <v>957</v>
      </c>
      <c r="B937" s="3" t="s">
        <v>8</v>
      </c>
      <c r="C937" s="3" t="s">
        <v>13</v>
      </c>
      <c r="D937" s="3" t="str">
        <f>IFERROR(__xludf.DUMMYFUNCTION("GOOGLETRANSLATE(A937, ""en"", ""zh-CN"")"),"地狱")</f>
        <v>地狱</v>
      </c>
    </row>
    <row r="938" ht="15.75" customHeight="1">
      <c r="A938" s="3" t="s">
        <v>958</v>
      </c>
      <c r="B938" s="3" t="s">
        <v>8</v>
      </c>
      <c r="C938" s="3" t="s">
        <v>6</v>
      </c>
      <c r="D938" s="3" t="str">
        <f>IFERROR(__xludf.DUMMYFUNCTION("GOOGLETRANSLATE(A938, ""en"", ""zh-CN"")"),"家庭作业")</f>
        <v>家庭作业</v>
      </c>
    </row>
    <row r="939" ht="15.75" customHeight="1">
      <c r="A939" s="3" t="s">
        <v>959</v>
      </c>
      <c r="B939" s="3" t="s">
        <v>923</v>
      </c>
      <c r="C939" s="3" t="s">
        <v>6</v>
      </c>
      <c r="D939" s="3" t="str">
        <f>IFERROR(__xludf.DUMMYFUNCTION("GOOGLETRANSLATE(A939, ""en"", ""zh-CN"")"),"你好")</f>
        <v>你好</v>
      </c>
    </row>
    <row r="940" ht="15.75" customHeight="1">
      <c r="A940" s="3" t="s">
        <v>960</v>
      </c>
      <c r="B940" s="3" t="s">
        <v>22</v>
      </c>
      <c r="C940" s="3" t="s">
        <v>9</v>
      </c>
      <c r="D940" s="3" t="str">
        <f>IFERROR(__xludf.DUMMYFUNCTION("GOOGLETRANSLATE(A940, ""en"", ""zh-CN"")"),"诚实的")</f>
        <v>诚实的</v>
      </c>
    </row>
    <row r="941" ht="15.75" customHeight="1">
      <c r="A941" s="3" t="s">
        <v>961</v>
      </c>
      <c r="B941" s="3" t="s">
        <v>12</v>
      </c>
      <c r="C941" s="3" t="s">
        <v>9</v>
      </c>
      <c r="D941" s="3" t="str">
        <f>IFERROR(__xludf.DUMMYFUNCTION("GOOGLETRANSLATE(A941, ""en"", ""zh-CN"")"),"悬挂")</f>
        <v>悬挂</v>
      </c>
    </row>
    <row r="942" ht="15.75" customHeight="1">
      <c r="A942" s="3" t="s">
        <v>962</v>
      </c>
      <c r="B942" s="3" t="s">
        <v>22</v>
      </c>
      <c r="C942" s="3" t="s">
        <v>16</v>
      </c>
      <c r="D942" s="3" t="str">
        <f>IFERROR(__xludf.DUMMYFUNCTION("GOOGLETRANSLATE(A942, ""en"", ""zh-CN"")"),"有帮助")</f>
        <v>有帮助</v>
      </c>
    </row>
    <row r="943" ht="15.75" customHeight="1">
      <c r="A943" s="3" t="s">
        <v>963</v>
      </c>
      <c r="B943" s="3" t="s">
        <v>12</v>
      </c>
      <c r="C943" s="3" t="s">
        <v>6</v>
      </c>
      <c r="D943" s="3" t="str">
        <f>IFERROR(__xludf.DUMMYFUNCTION("GOOGLETRANSLATE(A943, ""en"", ""zh-CN"")"),"发生")</f>
        <v>发生</v>
      </c>
    </row>
    <row r="944" ht="15.75" customHeight="1">
      <c r="A944" s="3" t="s">
        <v>964</v>
      </c>
      <c r="B944" s="3" t="s">
        <v>22</v>
      </c>
      <c r="C944" s="3" t="s">
        <v>9</v>
      </c>
      <c r="D944" s="3" t="str">
        <f>IFERROR(__xludf.DUMMYFUNCTION("GOOGLETRANSLATE(A944, ""en"", ""zh-CN"")"),"可怕")</f>
        <v>可怕</v>
      </c>
    </row>
    <row r="945" ht="15.75" customHeight="1">
      <c r="A945" s="3" t="s">
        <v>965</v>
      </c>
      <c r="B945" s="3" t="s">
        <v>20</v>
      </c>
      <c r="C945" s="3" t="s">
        <v>16</v>
      </c>
      <c r="D945" s="3" t="str">
        <f>IFERROR(__xludf.DUMMYFUNCTION("GOOGLETRANSLATE(A945, ""en"", ""zh-CN"")"),"快乐")</f>
        <v>快乐</v>
      </c>
    </row>
    <row r="946" ht="15.75" customHeight="1">
      <c r="A946" s="3" t="s">
        <v>966</v>
      </c>
      <c r="B946" s="3" t="s">
        <v>20</v>
      </c>
      <c r="C946" s="3" t="s">
        <v>6</v>
      </c>
      <c r="D946" s="3" t="str">
        <f>IFERROR(__xludf.DUMMYFUNCTION("GOOGLETRANSLATE(A946, ""en"", ""zh-CN"")"),"这里")</f>
        <v>这里</v>
      </c>
    </row>
    <row r="947" ht="15.75" customHeight="1">
      <c r="A947" s="3" t="s">
        <v>967</v>
      </c>
      <c r="B947" s="3" t="s">
        <v>8</v>
      </c>
      <c r="C947" s="3" t="s">
        <v>9</v>
      </c>
      <c r="D947" s="3" t="str">
        <f>IFERROR(__xludf.DUMMYFUNCTION("GOOGLETRANSLATE(A947, ""en"", ""zh-CN"")"),"恐怖")</f>
        <v>恐怖</v>
      </c>
    </row>
    <row r="948" ht="15.75" customHeight="1">
      <c r="A948" s="3" t="s">
        <v>968</v>
      </c>
      <c r="B948" s="3" t="s">
        <v>8</v>
      </c>
      <c r="C948" s="3" t="s">
        <v>9</v>
      </c>
      <c r="D948" s="3" t="str">
        <f>IFERROR(__xludf.DUMMYFUNCTION("GOOGLETRANSLATE(A948, ""en"", ""zh-CN"")"),"幸福")</f>
        <v>幸福</v>
      </c>
    </row>
    <row r="949" ht="15.75" customHeight="1">
      <c r="A949" s="3" t="s">
        <v>969</v>
      </c>
      <c r="B949" s="3" t="s">
        <v>8</v>
      </c>
      <c r="C949" s="3" t="s">
        <v>16</v>
      </c>
      <c r="D949" s="3" t="str">
        <f>IFERROR(__xludf.DUMMYFUNCTION("GOOGLETRANSLATE(A949, ""en"", ""zh-CN"")"),"英雄")</f>
        <v>英雄</v>
      </c>
    </row>
    <row r="950" ht="15.75" customHeight="1">
      <c r="A950" s="3" t="s">
        <v>970</v>
      </c>
      <c r="B950" s="3" t="s">
        <v>8</v>
      </c>
      <c r="C950" s="3" t="s">
        <v>6</v>
      </c>
      <c r="D950" s="3" t="str">
        <f>IFERROR(__xludf.DUMMYFUNCTION("GOOGLETRANSLATE(A950, ""en"", ""zh-CN"")"),"马")</f>
        <v>马</v>
      </c>
    </row>
    <row r="951" ht="15.75" customHeight="1">
      <c r="A951" s="3" t="s">
        <v>971</v>
      </c>
      <c r="B951" s="3" t="s">
        <v>22</v>
      </c>
      <c r="C951" s="3" t="s">
        <v>6</v>
      </c>
      <c r="D951" s="3" t="str">
        <f>IFERROR(__xludf.DUMMYFUNCTION("GOOGLETRANSLATE(A951, ""en"", ""zh-CN"")"),"快乐的")</f>
        <v>快乐的</v>
      </c>
    </row>
    <row r="952" ht="15.75" customHeight="1">
      <c r="A952" s="3" t="s">
        <v>972</v>
      </c>
      <c r="B952" s="3" t="s">
        <v>146</v>
      </c>
      <c r="C952" s="3" t="s">
        <v>16</v>
      </c>
      <c r="D952" s="3" t="str">
        <f>IFERROR(__xludf.DUMMYFUNCTION("GOOGLETRANSLATE(A952, ""en"", ""zh-CN"")"),"她的")</f>
        <v>她的</v>
      </c>
    </row>
    <row r="953" ht="15.75" customHeight="1">
      <c r="A953" s="3" t="s">
        <v>973</v>
      </c>
      <c r="B953" s="3" t="s">
        <v>8</v>
      </c>
      <c r="C953" s="3" t="s">
        <v>6</v>
      </c>
      <c r="D953" s="3" t="str">
        <f>IFERROR(__xludf.DUMMYFUNCTION("GOOGLETRANSLATE(A953, ""en"", ""zh-CN"")"),"医院")</f>
        <v>医院</v>
      </c>
    </row>
    <row r="954" ht="15.75" customHeight="1">
      <c r="A954" s="3" t="s">
        <v>974</v>
      </c>
      <c r="B954" s="3" t="s">
        <v>146</v>
      </c>
      <c r="C954" s="3" t="s">
        <v>16</v>
      </c>
      <c r="D954" s="3" t="str">
        <f>IFERROR(__xludf.DUMMYFUNCTION("GOOGLETRANSLATE(A954, ""en"", ""zh-CN"")"),"她自己")</f>
        <v>她自己</v>
      </c>
    </row>
    <row r="955" ht="15.75" customHeight="1">
      <c r="A955" s="3" t="s">
        <v>975</v>
      </c>
      <c r="B955" s="3" t="s">
        <v>20</v>
      </c>
      <c r="C955" s="3" t="s">
        <v>9</v>
      </c>
      <c r="D955" s="3" t="str">
        <f>IFERROR(__xludf.DUMMYFUNCTION("GOOGLETRANSLATE(A955, ""en"", ""zh-CN"")"),"几乎不")</f>
        <v>几乎不</v>
      </c>
    </row>
    <row r="956" ht="15.75" customHeight="1">
      <c r="A956" s="3" t="s">
        <v>976</v>
      </c>
      <c r="B956" s="3" t="s">
        <v>12</v>
      </c>
      <c r="C956" s="3" t="s">
        <v>13</v>
      </c>
      <c r="D956" s="3" t="str">
        <f>IFERROR(__xludf.DUMMYFUNCTION("GOOGLETRANSLATE(A956, ""en"", ""zh-CN"")"),"犹豫")</f>
        <v>犹豫</v>
      </c>
    </row>
    <row r="957" ht="15.75" customHeight="1">
      <c r="A957" s="3" t="s">
        <v>977</v>
      </c>
      <c r="B957" s="3" t="s">
        <v>22</v>
      </c>
      <c r="C957" s="3" t="s">
        <v>6</v>
      </c>
      <c r="D957" s="3" t="str">
        <f>IFERROR(__xludf.DUMMYFUNCTION("GOOGLETRANSLATE(A957, ""en"", ""zh-CN"")"),"热的")</f>
        <v>热的</v>
      </c>
    </row>
    <row r="958" ht="15.75" customHeight="1">
      <c r="A958" s="3" t="s">
        <v>978</v>
      </c>
      <c r="B958" s="3" t="s">
        <v>15</v>
      </c>
      <c r="C958" s="3" t="s">
        <v>6</v>
      </c>
      <c r="D958" s="3" t="str">
        <f>IFERROR(__xludf.DUMMYFUNCTION("GOOGLETRANSLATE(A958, ""en"", ""zh-CN"")"),"嘿")</f>
        <v>嘿</v>
      </c>
    </row>
    <row r="959" ht="15.75" customHeight="1">
      <c r="A959" s="3" t="s">
        <v>979</v>
      </c>
      <c r="B959" s="3" t="s">
        <v>8</v>
      </c>
      <c r="C959" s="3" t="s">
        <v>6</v>
      </c>
      <c r="D959" s="3" t="str">
        <f>IFERROR(__xludf.DUMMYFUNCTION("GOOGLETRANSLATE(A959, ""en"", ""zh-CN"")"),"酒店")</f>
        <v>酒店</v>
      </c>
    </row>
    <row r="960" ht="15.75" customHeight="1">
      <c r="A960" s="3" t="s">
        <v>980</v>
      </c>
      <c r="B960" s="3" t="s">
        <v>22</v>
      </c>
      <c r="C960" s="3" t="s">
        <v>13</v>
      </c>
      <c r="D960" s="3" t="str">
        <f>IFERROR(__xludf.DUMMYFUNCTION("GOOGLETRANSLATE(A960, ""en"", ""zh-CN"")"),"有害")</f>
        <v>有害</v>
      </c>
    </row>
    <row r="961" ht="15.75" customHeight="1">
      <c r="A961" s="3" t="s">
        <v>981</v>
      </c>
      <c r="B961" s="3" t="s">
        <v>15</v>
      </c>
      <c r="C961" s="3" t="s">
        <v>6</v>
      </c>
      <c r="D961" s="3" t="str">
        <f>IFERROR(__xludf.DUMMYFUNCTION("GOOGLETRANSLATE(A961, ""en"", ""zh-CN"")"),"你好")</f>
        <v>你好</v>
      </c>
    </row>
    <row r="962" ht="15.75" customHeight="1">
      <c r="A962" s="3" t="s">
        <v>982</v>
      </c>
      <c r="B962" s="3" t="s">
        <v>8</v>
      </c>
      <c r="C962" s="3" t="s">
        <v>6</v>
      </c>
      <c r="D962" s="3" t="str">
        <f>IFERROR(__xludf.DUMMYFUNCTION("GOOGLETRANSLATE(A962, ""en"", ""zh-CN"")"),"小时")</f>
        <v>小时</v>
      </c>
    </row>
    <row r="963" ht="15.75" customHeight="1">
      <c r="A963" s="3" t="s">
        <v>983</v>
      </c>
      <c r="B963" s="3" t="s">
        <v>8</v>
      </c>
      <c r="C963" s="3" t="s">
        <v>6</v>
      </c>
      <c r="D963" s="3" t="str">
        <f>IFERROR(__xludf.DUMMYFUNCTION("GOOGLETRANSLATE(A963, ""en"", ""zh-CN"")"),"帽子")</f>
        <v>帽子</v>
      </c>
    </row>
    <row r="964" ht="15.75" customHeight="1">
      <c r="A964" s="3" t="s">
        <v>984</v>
      </c>
      <c r="B964" s="3" t="s">
        <v>12</v>
      </c>
      <c r="C964" s="3" t="s">
        <v>16</v>
      </c>
      <c r="D964" s="3" t="str">
        <f>IFERROR(__xludf.DUMMYFUNCTION("GOOGLETRANSLATE(A964, ""en"", ""zh-CN"")"),"隐藏")</f>
        <v>隐藏</v>
      </c>
    </row>
    <row r="965" ht="15.75" customHeight="1">
      <c r="A965" s="3" t="s">
        <v>985</v>
      </c>
      <c r="B965" s="3" t="s">
        <v>8</v>
      </c>
      <c r="C965" s="3" t="s">
        <v>13</v>
      </c>
      <c r="D965" s="3" t="str">
        <f>IFERROR(__xludf.DUMMYFUNCTION("GOOGLETRANSLATE(A965, ""en"", ""zh-CN"")"),"家庭")</f>
        <v>家庭</v>
      </c>
    </row>
    <row r="966" ht="15.75" customHeight="1">
      <c r="A966" s="3" t="s">
        <v>986</v>
      </c>
      <c r="B966" s="3" t="s">
        <v>8</v>
      </c>
      <c r="C966" s="3" t="s">
        <v>13</v>
      </c>
      <c r="D966" s="3" t="str">
        <f>IFERROR(__xludf.DUMMYFUNCTION("GOOGLETRANSLATE(A966, ""en"", ""zh-CN"")"),"住房")</f>
        <v>住房</v>
      </c>
    </row>
    <row r="967" ht="15.75" customHeight="1">
      <c r="A967" s="3" t="s">
        <v>987</v>
      </c>
      <c r="B967" s="3" t="s">
        <v>20</v>
      </c>
      <c r="C967" s="3" t="s">
        <v>9</v>
      </c>
      <c r="D967" s="3" t="str">
        <f>IFERROR(__xludf.DUMMYFUNCTION("GOOGLETRANSLATE(A967, ""en"", ""zh-CN"")"),"高度")</f>
        <v>高度</v>
      </c>
    </row>
    <row r="968" ht="15.75" customHeight="1">
      <c r="A968" s="3" t="s">
        <v>988</v>
      </c>
      <c r="B968" s="3" t="s">
        <v>20</v>
      </c>
      <c r="C968" s="3" t="s">
        <v>6</v>
      </c>
      <c r="D968" s="3" t="str">
        <f>IFERROR(__xludf.DUMMYFUNCTION("GOOGLETRANSLATE(A968, ""en"", ""zh-CN"")"),"如何")</f>
        <v>如何</v>
      </c>
    </row>
    <row r="969" ht="15.75" customHeight="1">
      <c r="A969" s="3" t="s">
        <v>989</v>
      </c>
      <c r="B969" s="3" t="s">
        <v>146</v>
      </c>
      <c r="C969" s="3" t="s">
        <v>6</v>
      </c>
      <c r="D969" s="3" t="str">
        <f>IFERROR(__xludf.DUMMYFUNCTION("GOOGLETRANSLATE(A969, ""en"", ""zh-CN"")"),"他")</f>
        <v>他</v>
      </c>
    </row>
    <row r="970" ht="15.75" customHeight="1">
      <c r="A970" s="3" t="s">
        <v>990</v>
      </c>
      <c r="B970" s="3" t="s">
        <v>8</v>
      </c>
      <c r="C970" s="3" t="s">
        <v>16</v>
      </c>
      <c r="D970" s="3" t="str">
        <f>IFERROR(__xludf.DUMMYFUNCTION("GOOGLETRANSLATE(A970, ""en"", ""zh-CN"")"),"爬坡道")</f>
        <v>爬坡道</v>
      </c>
    </row>
    <row r="971" ht="15.75" customHeight="1">
      <c r="A971" s="3" t="s">
        <v>991</v>
      </c>
      <c r="B971" s="3" t="s">
        <v>20</v>
      </c>
      <c r="C971" s="3" t="s">
        <v>6</v>
      </c>
      <c r="D971" s="3" t="str">
        <f>IFERROR(__xludf.DUMMYFUNCTION("GOOGLETRANSLATE(A971, ""en"", ""zh-CN"")"),"然而")</f>
        <v>然而</v>
      </c>
    </row>
    <row r="972" ht="15.75" customHeight="1">
      <c r="A972" s="3" t="s">
        <v>992</v>
      </c>
      <c r="B972" s="3" t="s">
        <v>146</v>
      </c>
      <c r="C972" s="3" t="s">
        <v>6</v>
      </c>
      <c r="D972" s="3" t="str">
        <f>IFERROR(__xludf.DUMMYFUNCTION("GOOGLETRANSLATE(A972, ""en"", ""zh-CN"")"),"他")</f>
        <v>他</v>
      </c>
    </row>
    <row r="973" ht="15.75" customHeight="1">
      <c r="A973" s="3" t="s">
        <v>993</v>
      </c>
      <c r="B973" s="3" t="s">
        <v>22</v>
      </c>
      <c r="C973" s="3" t="s">
        <v>16</v>
      </c>
      <c r="D973" s="3" t="str">
        <f>IFERROR(__xludf.DUMMYFUNCTION("GOOGLETRANSLATE(A973, ""en"", ""zh-CN"")"),"巨大的")</f>
        <v>巨大的</v>
      </c>
    </row>
    <row r="974" ht="15.75" customHeight="1">
      <c r="A974" s="3" t="s">
        <v>994</v>
      </c>
      <c r="B974" s="3" t="s">
        <v>8</v>
      </c>
      <c r="C974" s="3" t="s">
        <v>16</v>
      </c>
      <c r="D974" s="3" t="str">
        <f>IFERROR(__xludf.DUMMYFUNCTION("GOOGLETRANSLATE(A974, ""en"", ""zh-CN"")"),"头痛")</f>
        <v>头痛</v>
      </c>
    </row>
    <row r="975" ht="15.75" customHeight="1">
      <c r="A975" s="3" t="s">
        <v>995</v>
      </c>
      <c r="B975" s="3" t="s">
        <v>146</v>
      </c>
      <c r="C975" s="3" t="s">
        <v>16</v>
      </c>
      <c r="D975" s="3" t="str">
        <f>IFERROR(__xludf.DUMMYFUNCTION("GOOGLETRANSLATE(A975, ""en"", ""zh-CN"")"),"他自己")</f>
        <v>他自己</v>
      </c>
    </row>
    <row r="976" ht="15.75" customHeight="1">
      <c r="A976" s="3" t="s">
        <v>996</v>
      </c>
      <c r="B976" s="3" t="s">
        <v>8</v>
      </c>
      <c r="C976" s="3" t="s">
        <v>9</v>
      </c>
      <c r="D976" s="3" t="str">
        <f>IFERROR(__xludf.DUMMYFUNCTION("GOOGLETRANSLATE(A976, ""en"", ""zh-CN"")"),"标题")</f>
        <v>标题</v>
      </c>
    </row>
    <row r="977" ht="15.75" customHeight="1">
      <c r="A977" s="3" t="s">
        <v>997</v>
      </c>
      <c r="B977" s="3" t="s">
        <v>22</v>
      </c>
      <c r="C977" s="3" t="s">
        <v>13</v>
      </c>
      <c r="D977" s="3" t="str">
        <f>IFERROR(__xludf.DUMMYFUNCTION("GOOGLETRANSLATE(A977, ""en"", ""zh-CN"")"),"幽默")</f>
        <v>幽默</v>
      </c>
    </row>
    <row r="978" ht="15.75" customHeight="1">
      <c r="A978" s="3" t="s">
        <v>998</v>
      </c>
      <c r="B978" s="3" t="s">
        <v>8</v>
      </c>
      <c r="C978" s="3" t="s">
        <v>6</v>
      </c>
      <c r="D978" s="3" t="str">
        <f>IFERROR(__xludf.DUMMYFUNCTION("GOOGLETRANSLATE(A978, ""en"", ""zh-CN"")"),"健康")</f>
        <v>健康</v>
      </c>
    </row>
    <row r="979" ht="15.75" customHeight="1">
      <c r="A979" s="3" t="s">
        <v>999</v>
      </c>
      <c r="B979" s="3" t="s">
        <v>8</v>
      </c>
      <c r="C979" s="3" t="s">
        <v>13</v>
      </c>
      <c r="D979" s="3" t="str">
        <f>IFERROR(__xludf.DUMMYFUNCTION("GOOGLETRANSLATE(A979, ""en"", ""zh-CN"")"),"幽默")</f>
        <v>幽默</v>
      </c>
    </row>
    <row r="980" ht="15.75" customHeight="1">
      <c r="A980" s="3" t="s">
        <v>1000</v>
      </c>
      <c r="B980" s="3" t="s">
        <v>22</v>
      </c>
      <c r="C980" s="3" t="s">
        <v>6</v>
      </c>
      <c r="D980" s="3" t="str">
        <f>IFERROR(__xludf.DUMMYFUNCTION("GOOGLETRANSLATE(A980, ""en"", ""zh-CN"")"),"健康")</f>
        <v>健康</v>
      </c>
    </row>
    <row r="981" ht="15.75" customHeight="1">
      <c r="A981" s="3" t="s">
        <v>1001</v>
      </c>
      <c r="B981" s="3" t="s">
        <v>22</v>
      </c>
      <c r="C981" s="3" t="s">
        <v>9</v>
      </c>
      <c r="D981" s="3" t="str">
        <f>IFERROR(__xludf.DUMMYFUNCTION("GOOGLETRANSLATE(A981, ""en"", ""zh-CN"")"),"历史性")</f>
        <v>历史性</v>
      </c>
    </row>
    <row r="982" ht="15.75" customHeight="1">
      <c r="A982" s="3" t="s">
        <v>1002</v>
      </c>
      <c r="B982" s="3" t="s">
        <v>227</v>
      </c>
      <c r="C982" s="3" t="s">
        <v>6</v>
      </c>
      <c r="D982" s="3" t="str">
        <f>IFERROR(__xludf.DUMMYFUNCTION("GOOGLETRANSLATE(A982, ""en"", ""zh-CN"")"),"百")</f>
        <v>百</v>
      </c>
    </row>
    <row r="983" ht="15.75" customHeight="1">
      <c r="A983" s="3" t="s">
        <v>1003</v>
      </c>
      <c r="B983" s="3" t="s">
        <v>12</v>
      </c>
      <c r="C983" s="3" t="s">
        <v>6</v>
      </c>
      <c r="D983" s="3" t="str">
        <f>IFERROR(__xludf.DUMMYFUNCTION("GOOGLETRANSLATE(A983, ""en"", ""zh-CN"")"),"听到")</f>
        <v>听到</v>
      </c>
    </row>
    <row r="984" ht="15.75" customHeight="1">
      <c r="A984" s="3" t="s">
        <v>1004</v>
      </c>
      <c r="B984" s="3" t="s">
        <v>22</v>
      </c>
      <c r="C984" s="3" t="s">
        <v>9</v>
      </c>
      <c r="D984" s="3" t="str">
        <f>IFERROR(__xludf.DUMMYFUNCTION("GOOGLETRANSLATE(A984, ""en"", ""zh-CN"")"),"历史")</f>
        <v>历史</v>
      </c>
    </row>
    <row r="985" ht="15.75" customHeight="1">
      <c r="A985" s="3" t="s">
        <v>1005</v>
      </c>
      <c r="B985" s="3" t="s">
        <v>22</v>
      </c>
      <c r="C985" s="3" t="s">
        <v>6</v>
      </c>
      <c r="D985" s="3" t="str">
        <f>IFERROR(__xludf.DUMMYFUNCTION("GOOGLETRANSLATE(A985, ""en"", ""zh-CN"")"),"饥饿的")</f>
        <v>饥饿的</v>
      </c>
    </row>
    <row r="986" ht="15.75" customHeight="1">
      <c r="A986" s="3" t="s">
        <v>1006</v>
      </c>
      <c r="B986" s="3" t="s">
        <v>8</v>
      </c>
      <c r="C986" s="3" t="s">
        <v>13</v>
      </c>
      <c r="D986" s="3" t="str">
        <f>IFERROR(__xludf.DUMMYFUNCTION("GOOGLETRANSLATE(A986, ""en"", ""zh-CN"")"),"听力")</f>
        <v>听力</v>
      </c>
    </row>
    <row r="987" ht="15.75" customHeight="1">
      <c r="A987" s="3" t="s">
        <v>1007</v>
      </c>
      <c r="B987" s="3" t="s">
        <v>8</v>
      </c>
      <c r="C987" s="3" t="s">
        <v>6</v>
      </c>
      <c r="D987" s="3" t="str">
        <f>IFERROR(__xludf.DUMMYFUNCTION("GOOGLETRANSLATE(A987, ""en"", ""zh-CN"")"),"历史")</f>
        <v>历史</v>
      </c>
    </row>
    <row r="988" ht="15.75" customHeight="1">
      <c r="A988" s="3" t="s">
        <v>1008</v>
      </c>
      <c r="B988" s="3" t="s">
        <v>8</v>
      </c>
      <c r="C988" s="3" t="s">
        <v>16</v>
      </c>
      <c r="D988" s="3" t="str">
        <f>IFERROR(__xludf.DUMMYFUNCTION("GOOGLETRANSLATE(A988, ""en"", ""zh-CN"")"),"心")</f>
        <v>心</v>
      </c>
    </row>
    <row r="989" ht="15.75" customHeight="1">
      <c r="A989" s="3" t="s">
        <v>1009</v>
      </c>
      <c r="B989" s="3" t="s">
        <v>8</v>
      </c>
      <c r="C989" s="3" t="s">
        <v>13</v>
      </c>
      <c r="D989" s="3" t="str">
        <f>IFERROR(__xludf.DUMMYFUNCTION("GOOGLETRANSLATE(A989, ""en"", ""zh-CN"")"),"打猎")</f>
        <v>打猎</v>
      </c>
    </row>
    <row r="990" ht="15.75" customHeight="1">
      <c r="A990" s="3" t="s">
        <v>1010</v>
      </c>
      <c r="B990" s="3" t="s">
        <v>8</v>
      </c>
      <c r="C990" s="3" t="s">
        <v>6</v>
      </c>
      <c r="D990" s="3" t="str">
        <f>IFERROR(__xludf.DUMMYFUNCTION("GOOGLETRANSLATE(A990, ""en"", ""zh-CN"")"),"爱好")</f>
        <v>爱好</v>
      </c>
    </row>
    <row r="991" ht="15.75" customHeight="1">
      <c r="A991" s="3" t="s">
        <v>1011</v>
      </c>
      <c r="B991" s="3" t="s">
        <v>8</v>
      </c>
      <c r="C991" s="3" t="s">
        <v>9</v>
      </c>
      <c r="D991" s="3" t="str">
        <f>IFERROR(__xludf.DUMMYFUNCTION("GOOGLETRANSLATE(A991, ""en"", ""zh-CN"")"),"飓风")</f>
        <v>飓风</v>
      </c>
    </row>
    <row r="992" ht="15.75" customHeight="1">
      <c r="A992" s="3" t="s">
        <v>1012</v>
      </c>
      <c r="B992" s="3" t="s">
        <v>8</v>
      </c>
      <c r="C992" s="3" t="s">
        <v>9</v>
      </c>
      <c r="D992" s="3" t="str">
        <f>IFERROR(__xludf.DUMMYFUNCTION("GOOGLETRANSLATE(A992, ""en"", ""zh-CN"")"),"加热")</f>
        <v>加热</v>
      </c>
    </row>
    <row r="993" ht="15.75" customHeight="1">
      <c r="A993" s="3" t="s">
        <v>1013</v>
      </c>
      <c r="B993" s="3" t="s">
        <v>8</v>
      </c>
      <c r="C993" s="3" t="s">
        <v>16</v>
      </c>
      <c r="D993" s="3" t="str">
        <f>IFERROR(__xludf.DUMMYFUNCTION("GOOGLETRANSLATE(A993, ""en"", ""zh-CN"")"),"曲棍球")</f>
        <v>曲棍球</v>
      </c>
    </row>
    <row r="994" ht="15.75" customHeight="1">
      <c r="A994" s="3" t="s">
        <v>1014</v>
      </c>
      <c r="B994" s="3" t="s">
        <v>8</v>
      </c>
      <c r="C994" s="3" t="s">
        <v>13</v>
      </c>
      <c r="D994" s="3" t="str">
        <f>IFERROR(__xludf.DUMMYFUNCTION("GOOGLETRANSLATE(A994, ""en"", ""zh-CN"")"),"天堂")</f>
        <v>天堂</v>
      </c>
    </row>
    <row r="995" ht="15.75" customHeight="1">
      <c r="A995" s="3" t="s">
        <v>1015</v>
      </c>
      <c r="B995" s="3" t="s">
        <v>20</v>
      </c>
      <c r="C995" s="3" t="s">
        <v>9</v>
      </c>
      <c r="D995" s="3" t="str">
        <f>IFERROR(__xludf.DUMMYFUNCTION("GOOGLETRANSLATE(A995, ""en"", ""zh-CN"")"),"沉重")</f>
        <v>沉重</v>
      </c>
    </row>
    <row r="996" ht="15.75" customHeight="1">
      <c r="A996" s="3" t="s">
        <v>1016</v>
      </c>
      <c r="B996" s="3" t="s">
        <v>8</v>
      </c>
      <c r="C996" s="3" t="s">
        <v>16</v>
      </c>
      <c r="D996" s="3" t="str">
        <f>IFERROR(__xludf.DUMMYFUNCTION("GOOGLETRANSLATE(A996, ""en"", ""zh-CN"")"),"洞")</f>
        <v>洞</v>
      </c>
    </row>
    <row r="997" ht="15.75" customHeight="1">
      <c r="A997" s="3" t="s">
        <v>1017</v>
      </c>
      <c r="B997" s="3" t="s">
        <v>8</v>
      </c>
      <c r="C997" s="3" t="s">
        <v>6</v>
      </c>
      <c r="D997" s="3" t="str">
        <f>IFERROR(__xludf.DUMMYFUNCTION("GOOGLETRANSLATE(A997, ""en"", ""zh-CN"")"),"丈夫")</f>
        <v>丈夫</v>
      </c>
    </row>
    <row r="998" ht="15.75" customHeight="1">
      <c r="A998" s="3" t="s">
        <v>1018</v>
      </c>
      <c r="B998" s="3" t="s">
        <v>22</v>
      </c>
      <c r="C998" s="3" t="s">
        <v>16</v>
      </c>
      <c r="D998" s="3" t="str">
        <f>IFERROR(__xludf.DUMMYFUNCTION("GOOGLETRANSLATE(A998, ""en"", ""zh-CN"")"),"重的")</f>
        <v>重的</v>
      </c>
    </row>
    <row r="999" ht="15.75" customHeight="1">
      <c r="A999" s="3" t="s">
        <v>1019</v>
      </c>
      <c r="B999" s="3" t="s">
        <v>8</v>
      </c>
      <c r="C999" s="3" t="s">
        <v>6</v>
      </c>
      <c r="D999" s="3" t="str">
        <f>IFERROR(__xludf.DUMMYFUNCTION("GOOGLETRANSLATE(A999, ""en"", ""zh-CN"")"),"假期")</f>
        <v>假期</v>
      </c>
    </row>
    <row r="1000" ht="15.75" customHeight="1">
      <c r="A1000" s="3" t="s">
        <v>1020</v>
      </c>
      <c r="B1000" s="3" t="s">
        <v>146</v>
      </c>
      <c r="C1000" s="3" t="s">
        <v>6</v>
      </c>
      <c r="D1000" s="3" t="str">
        <f>IFERROR(__xludf.DUMMYFUNCTION("GOOGLETRANSLATE(A1000, ""en"", ""zh-CN"")"),"我")</f>
        <v>我</v>
      </c>
    </row>
    <row r="1001" ht="15.75" customHeight="1">
      <c r="A1001" s="3" t="s">
        <v>1021</v>
      </c>
      <c r="B1001" s="3" t="s">
        <v>88</v>
      </c>
      <c r="C1001" s="3" t="s">
        <v>16</v>
      </c>
      <c r="D1001" s="3" t="str">
        <f>IFERROR(__xludf.DUMMYFUNCTION("GOOGLETRANSLATE(A1001, ""en"", ""zh-CN"")"),"包括")</f>
        <v>包括</v>
      </c>
    </row>
    <row r="1002" ht="15.75" customHeight="1">
      <c r="A1002" s="3" t="s">
        <v>1022</v>
      </c>
      <c r="B1002" s="3" t="s">
        <v>8</v>
      </c>
      <c r="C1002" s="3" t="s">
        <v>16</v>
      </c>
      <c r="D1002" s="3" t="str">
        <f>IFERROR(__xludf.DUMMYFUNCTION("GOOGLETRANSLATE(A1002, ""en"", ""zh-CN"")"),"讲师")</f>
        <v>讲师</v>
      </c>
    </row>
    <row r="1003" ht="15.75" customHeight="1">
      <c r="A1003" s="3" t="s">
        <v>1023</v>
      </c>
      <c r="B1003" s="3" t="s">
        <v>8</v>
      </c>
      <c r="C1003" s="3" t="s">
        <v>6</v>
      </c>
      <c r="D1003" s="3" t="str">
        <f>IFERROR(__xludf.DUMMYFUNCTION("GOOGLETRANSLATE(A1003, ""en"", ""zh-CN"")"),"冰")</f>
        <v>冰</v>
      </c>
    </row>
    <row r="1004" ht="15.75" customHeight="1">
      <c r="A1004" s="3" t="s">
        <v>1024</v>
      </c>
      <c r="B1004" s="3" t="s">
        <v>8</v>
      </c>
      <c r="C1004" s="3" t="s">
        <v>13</v>
      </c>
      <c r="D1004" s="3" t="str">
        <f>IFERROR(__xludf.DUMMYFUNCTION("GOOGLETRANSLATE(A1004, ""en"", ""zh-CN"")"),"收入")</f>
        <v>收入</v>
      </c>
    </row>
    <row r="1005" ht="15.75" customHeight="1">
      <c r="A1005" s="3" t="s">
        <v>1025</v>
      </c>
      <c r="B1005" s="3" t="s">
        <v>8</v>
      </c>
      <c r="C1005" s="3" t="s">
        <v>16</v>
      </c>
      <c r="D1005" s="3" t="str">
        <f>IFERROR(__xludf.DUMMYFUNCTION("GOOGLETRANSLATE(A1005, ""en"", ""zh-CN"")"),"乐器")</f>
        <v>乐器</v>
      </c>
    </row>
    <row r="1006" ht="15.75" customHeight="1">
      <c r="A1006" s="3" t="s">
        <v>1026</v>
      </c>
      <c r="B1006" s="3" t="s">
        <v>8</v>
      </c>
      <c r="C1006" s="3" t="s">
        <v>13</v>
      </c>
      <c r="D1006" s="3" t="str">
        <f>IFERROR(__xludf.DUMMYFUNCTION("GOOGLETRANSLATE(A1006, ""en"", ""zh-CN"")"),"保险")</f>
        <v>保险</v>
      </c>
    </row>
    <row r="1007" ht="15.75" customHeight="1">
      <c r="A1007" s="3" t="s">
        <v>1027</v>
      </c>
      <c r="B1007" s="3" t="s">
        <v>8</v>
      </c>
      <c r="C1007" s="3" t="s">
        <v>6</v>
      </c>
      <c r="D1007" s="3" t="str">
        <f>IFERROR(__xludf.DUMMYFUNCTION("GOOGLETRANSLATE(A1007, ""en"", ""zh-CN"")"),"主意")</f>
        <v>主意</v>
      </c>
    </row>
    <row r="1008" ht="15.75" customHeight="1">
      <c r="A1008" s="3" t="s">
        <v>1028</v>
      </c>
      <c r="B1008" s="3" t="s">
        <v>20</v>
      </c>
      <c r="C1008" s="3" t="s">
        <v>13</v>
      </c>
      <c r="D1008" s="3" t="str">
        <f>IFERROR(__xludf.DUMMYFUNCTION("GOOGLETRANSLATE(A1008, ""en"", ""zh-CN"")"),"日益")</f>
        <v>日益</v>
      </c>
    </row>
    <row r="1009" ht="15.75" customHeight="1">
      <c r="A1009" s="3" t="s">
        <v>1029</v>
      </c>
      <c r="B1009" s="3" t="s">
        <v>8</v>
      </c>
      <c r="C1009" s="3" t="s">
        <v>9</v>
      </c>
      <c r="D1009" s="3" t="str">
        <f>IFERROR(__xludf.DUMMYFUNCTION("GOOGLETRANSLATE(A1009, ""en"", ""zh-CN"")"),"智力")</f>
        <v>智力</v>
      </c>
    </row>
    <row r="1010" ht="15.75" customHeight="1">
      <c r="A1010" s="3" t="s">
        <v>1030</v>
      </c>
      <c r="B1010" s="3" t="s">
        <v>22</v>
      </c>
      <c r="C1010" s="3" t="s">
        <v>16</v>
      </c>
      <c r="D1010" s="3" t="str">
        <f>IFERROR(__xludf.DUMMYFUNCTION("GOOGLETRANSLATE(A1010, ""en"", ""zh-CN"")"),"极好的")</f>
        <v>极好的</v>
      </c>
    </row>
    <row r="1011" ht="15.75" customHeight="1">
      <c r="A1011" s="3" t="s">
        <v>1031</v>
      </c>
      <c r="B1011" s="3" t="s">
        <v>22</v>
      </c>
      <c r="C1011" s="3" t="s">
        <v>16</v>
      </c>
      <c r="D1011" s="3" t="str">
        <f>IFERROR(__xludf.DUMMYFUNCTION("GOOGLETRANSLATE(A1011, ""en"", ""zh-CN"")"),"聪明的")</f>
        <v>聪明的</v>
      </c>
    </row>
    <row r="1012" ht="15.75" customHeight="1">
      <c r="A1012" s="3" t="s">
        <v>1032</v>
      </c>
      <c r="B1012" s="3" t="s">
        <v>12</v>
      </c>
      <c r="C1012" s="3" t="s">
        <v>16</v>
      </c>
      <c r="D1012" s="3" t="str">
        <f>IFERROR(__xludf.DUMMYFUNCTION("GOOGLETRANSLATE(A1012, ""en"", ""zh-CN"")"),"确认")</f>
        <v>确认</v>
      </c>
    </row>
    <row r="1013" ht="15.75" customHeight="1">
      <c r="A1013" s="3" t="s">
        <v>1033</v>
      </c>
      <c r="B1013" s="3" t="s">
        <v>20</v>
      </c>
      <c r="C1013" s="3" t="s">
        <v>9</v>
      </c>
      <c r="D1013" s="3" t="str">
        <f>IFERROR(__xludf.DUMMYFUNCTION("GOOGLETRANSLATE(A1013, ""en"", ""zh-CN"")"),"令人难以置信")</f>
        <v>令人难以置信</v>
      </c>
    </row>
    <row r="1014" ht="15.75" customHeight="1">
      <c r="A1014" s="3" t="s">
        <v>1034</v>
      </c>
      <c r="B1014" s="3" t="s">
        <v>12</v>
      </c>
      <c r="C1014" s="3" t="s">
        <v>9</v>
      </c>
      <c r="D1014" s="3" t="str">
        <f>IFERROR(__xludf.DUMMYFUNCTION("GOOGLETRANSLATE(A1014, ""en"", ""zh-CN"")"),"打算")</f>
        <v>打算</v>
      </c>
    </row>
    <row r="1015" ht="15.75" customHeight="1">
      <c r="A1015" s="3" t="s">
        <v>1035</v>
      </c>
      <c r="B1015" s="3" t="s">
        <v>8</v>
      </c>
      <c r="C1015" s="3" t="s">
        <v>9</v>
      </c>
      <c r="D1015" s="3" t="str">
        <f>IFERROR(__xludf.DUMMYFUNCTION("GOOGLETRANSLATE(A1015, ""en"", ""zh-CN"")"),"身份")</f>
        <v>身份</v>
      </c>
    </row>
    <row r="1016" ht="15.75" customHeight="1">
      <c r="A1016" s="3" t="s">
        <v>1036</v>
      </c>
      <c r="B1016" s="3" t="s">
        <v>20</v>
      </c>
      <c r="C1016" s="3" t="s">
        <v>9</v>
      </c>
      <c r="D1016" s="3" t="str">
        <f>IFERROR(__xludf.DUMMYFUNCTION("GOOGLETRANSLATE(A1016, ""en"", ""zh-CN"")"),"的确")</f>
        <v>的确</v>
      </c>
    </row>
    <row r="1017" ht="15.75" customHeight="1">
      <c r="A1017" s="3" t="s">
        <v>1037</v>
      </c>
      <c r="B1017" s="3" t="s">
        <v>22</v>
      </c>
      <c r="C1017" s="3" t="s">
        <v>13</v>
      </c>
      <c r="D1017" s="3" t="str">
        <f>IFERROR(__xludf.DUMMYFUNCTION("GOOGLETRANSLATE(A1017, ""en"", ""zh-CN"")"),"故意的")</f>
        <v>故意的</v>
      </c>
    </row>
    <row r="1018" ht="15.75" customHeight="1">
      <c r="A1018" s="3" t="s">
        <v>1038</v>
      </c>
      <c r="B1018" s="3" t="s">
        <v>72</v>
      </c>
      <c r="C1018" s="3" t="s">
        <v>6</v>
      </c>
      <c r="D1018" s="3" t="str">
        <f>IFERROR(__xludf.DUMMYFUNCTION("GOOGLETRANSLATE(A1018, ""en"", ""zh-CN"")"),"如果")</f>
        <v>如果</v>
      </c>
    </row>
    <row r="1019" ht="15.75" customHeight="1">
      <c r="A1019" s="3" t="s">
        <v>1039</v>
      </c>
      <c r="B1019" s="3" t="s">
        <v>22</v>
      </c>
      <c r="C1019" s="3" t="s">
        <v>16</v>
      </c>
      <c r="D1019" s="3" t="str">
        <f>IFERROR(__xludf.DUMMYFUNCTION("GOOGLETRANSLATE(A1019, ""en"", ""zh-CN"")"),"独立的")</f>
        <v>独立的</v>
      </c>
    </row>
    <row r="1020" ht="15.75" customHeight="1">
      <c r="A1020" s="3" t="s">
        <v>1040</v>
      </c>
      <c r="B1020" s="3" t="s">
        <v>22</v>
      </c>
      <c r="C1020" s="3" t="s">
        <v>13</v>
      </c>
      <c r="D1020" s="3" t="str">
        <f>IFERROR(__xludf.DUMMYFUNCTION("GOOGLETRANSLATE(A1020, ""en"", ""zh-CN"")"),"激烈的")</f>
        <v>激烈的</v>
      </c>
    </row>
    <row r="1021" ht="15.75" customHeight="1">
      <c r="A1021" s="3" t="s">
        <v>1041</v>
      </c>
      <c r="B1021" s="3" t="s">
        <v>12</v>
      </c>
      <c r="C1021" s="3" t="s">
        <v>9</v>
      </c>
      <c r="D1021" s="3" t="str">
        <f>IFERROR(__xludf.DUMMYFUNCTION("GOOGLETRANSLATE(A1021, ""en"", ""zh-CN"")"),"忽略")</f>
        <v>忽略</v>
      </c>
    </row>
    <row r="1022" ht="15.75" customHeight="1">
      <c r="A1022" s="3" t="s">
        <v>1042</v>
      </c>
      <c r="B1022" s="3" t="s">
        <v>12</v>
      </c>
      <c r="C1022" s="3" t="s">
        <v>9</v>
      </c>
      <c r="D1022" s="3" t="str">
        <f>IFERROR(__xludf.DUMMYFUNCTION("GOOGLETRANSLATE(A1022, ""en"", ""zh-CN"")"),"表明")</f>
        <v>表明</v>
      </c>
    </row>
    <row r="1023" ht="15.75" customHeight="1">
      <c r="A1023" s="3" t="s">
        <v>1043</v>
      </c>
      <c r="B1023" s="3" t="s">
        <v>8</v>
      </c>
      <c r="C1023" s="3" t="s">
        <v>9</v>
      </c>
      <c r="D1023" s="3" t="str">
        <f>IFERROR(__xludf.DUMMYFUNCTION("GOOGLETRANSLATE(A1023, ""en"", ""zh-CN"")"),"意图")</f>
        <v>意图</v>
      </c>
    </row>
    <row r="1024" ht="15.75" customHeight="1">
      <c r="A1024" s="3" t="s">
        <v>1044</v>
      </c>
      <c r="B1024" s="3" t="s">
        <v>22</v>
      </c>
      <c r="C1024" s="3" t="s">
        <v>16</v>
      </c>
      <c r="D1024" s="3" t="str">
        <f>IFERROR(__xludf.DUMMYFUNCTION("GOOGLETRANSLATE(A1024, ""en"", ""zh-CN"")"),"患病的")</f>
        <v>患病的</v>
      </c>
    </row>
    <row r="1025" ht="15.75" customHeight="1">
      <c r="A1025" s="3" t="s">
        <v>1045</v>
      </c>
      <c r="B1025" s="3" t="s">
        <v>22</v>
      </c>
      <c r="C1025" s="3" t="s">
        <v>9</v>
      </c>
      <c r="D1025" s="3" t="str">
        <f>IFERROR(__xludf.DUMMYFUNCTION("GOOGLETRANSLATE(A1025, ""en"", ""zh-CN"")"),"间接")</f>
        <v>间接</v>
      </c>
    </row>
    <row r="1026" ht="15.75" customHeight="1">
      <c r="A1026" s="3" t="s">
        <v>1046</v>
      </c>
      <c r="B1026" s="3" t="s">
        <v>22</v>
      </c>
      <c r="C1026" s="3" t="s">
        <v>9</v>
      </c>
      <c r="D1026" s="3" t="str">
        <f>IFERROR(__xludf.DUMMYFUNCTION("GOOGLETRANSLATE(A1026, ""en"", ""zh-CN"")"),"非法的")</f>
        <v>非法的</v>
      </c>
    </row>
    <row r="1027" ht="15.75" customHeight="1">
      <c r="A1027" s="3" t="s">
        <v>1047</v>
      </c>
      <c r="B1027" s="3" t="s">
        <v>22</v>
      </c>
      <c r="C1027" s="3" t="s">
        <v>6</v>
      </c>
      <c r="D1027" s="3" t="str">
        <f>IFERROR(__xludf.DUMMYFUNCTION("GOOGLETRANSLATE(A1027, ""en"", ""zh-CN"")"),"感兴趣的")</f>
        <v>感兴趣的</v>
      </c>
    </row>
    <row r="1028" ht="15.75" customHeight="1">
      <c r="A1028" s="3" t="s">
        <v>1048</v>
      </c>
      <c r="B1028" s="3" t="s">
        <v>8</v>
      </c>
      <c r="C1028" s="3" t="s">
        <v>16</v>
      </c>
      <c r="D1028" s="3" t="str">
        <f>IFERROR(__xludf.DUMMYFUNCTION("GOOGLETRANSLATE(A1028, ""en"", ""zh-CN"")"),"疾病")</f>
        <v>疾病</v>
      </c>
    </row>
    <row r="1029" ht="15.75" customHeight="1">
      <c r="A1029" s="3" t="s">
        <v>1049</v>
      </c>
      <c r="B1029" s="3" t="s">
        <v>22</v>
      </c>
      <c r="C1029" s="3" t="s">
        <v>9</v>
      </c>
      <c r="D1029" s="3" t="str">
        <f>IFERROR(__xludf.DUMMYFUNCTION("GOOGLETRANSLATE(A1029, ""en"", ""zh-CN"")"),"室内的")</f>
        <v>室内的</v>
      </c>
    </row>
    <row r="1030" ht="15.75" customHeight="1">
      <c r="A1030" s="3" t="s">
        <v>1050</v>
      </c>
      <c r="B1030" s="3" t="s">
        <v>22</v>
      </c>
      <c r="C1030" s="3" t="s">
        <v>6</v>
      </c>
      <c r="D1030" s="3" t="str">
        <f>IFERROR(__xludf.DUMMYFUNCTION("GOOGLETRANSLATE(A1030, ""en"", ""zh-CN"")"),"有趣的")</f>
        <v>有趣的</v>
      </c>
    </row>
    <row r="1031" ht="15.75" customHeight="1">
      <c r="A1031" s="3" t="s">
        <v>1051</v>
      </c>
      <c r="B1031" s="3" t="s">
        <v>12</v>
      </c>
      <c r="C1031" s="3" t="s">
        <v>13</v>
      </c>
      <c r="D1031" s="3" t="str">
        <f>IFERROR(__xludf.DUMMYFUNCTION("GOOGLETRANSLATE(A1031, ""en"", ""zh-CN"")"),"阐明")</f>
        <v>阐明</v>
      </c>
    </row>
    <row r="1032" ht="15.75" customHeight="1">
      <c r="A1032" s="3" t="s">
        <v>1052</v>
      </c>
      <c r="B1032" s="3" t="s">
        <v>20</v>
      </c>
      <c r="C1032" s="3" t="s">
        <v>9</v>
      </c>
      <c r="D1032" s="3" t="str">
        <f>IFERROR(__xludf.DUMMYFUNCTION("GOOGLETRANSLATE(A1032, ""en"", ""zh-CN"")"),"在室内")</f>
        <v>在室内</v>
      </c>
    </row>
    <row r="1033" ht="15.75" customHeight="1">
      <c r="A1033" s="3" t="s">
        <v>1053</v>
      </c>
      <c r="B1033" s="3" t="s">
        <v>22</v>
      </c>
      <c r="C1033" s="3" t="s">
        <v>13</v>
      </c>
      <c r="D1033" s="3" t="str">
        <f>IFERROR(__xludf.DUMMYFUNCTION("GOOGLETRANSLATE(A1033, ""en"", ""zh-CN"")"),"内部的")</f>
        <v>内部的</v>
      </c>
    </row>
    <row r="1034" ht="15.75" customHeight="1">
      <c r="A1034" s="3" t="s">
        <v>1054</v>
      </c>
      <c r="B1034" s="3" t="s">
        <v>8</v>
      </c>
      <c r="C1034" s="3" t="s">
        <v>13</v>
      </c>
      <c r="D1034" s="3" t="str">
        <f>IFERROR(__xludf.DUMMYFUNCTION("GOOGLETRANSLATE(A1034, ""en"", ""zh-CN"")"),"插图")</f>
        <v>插图</v>
      </c>
    </row>
    <row r="1035" ht="15.75" customHeight="1">
      <c r="A1035" s="3" t="s">
        <v>1055</v>
      </c>
      <c r="B1035" s="3" t="s">
        <v>22</v>
      </c>
      <c r="C1035" s="3" t="s">
        <v>13</v>
      </c>
      <c r="D1035" s="3" t="str">
        <f>IFERROR(__xludf.DUMMYFUNCTION("GOOGLETRANSLATE(A1035, ""en"", ""zh-CN"")"),"工业的")</f>
        <v>工业的</v>
      </c>
    </row>
    <row r="1036" ht="15.75" customHeight="1">
      <c r="A1036" s="3" t="s">
        <v>1056</v>
      </c>
      <c r="B1036" s="3" t="s">
        <v>22</v>
      </c>
      <c r="C1036" s="3" t="s">
        <v>16</v>
      </c>
      <c r="D1036" s="3" t="str">
        <f>IFERROR(__xludf.DUMMYFUNCTION("GOOGLETRANSLATE(A1036, ""en"", ""zh-CN"")"),"国际的")</f>
        <v>国际的</v>
      </c>
    </row>
    <row r="1037" ht="15.75" customHeight="1">
      <c r="A1037" s="3" t="s">
        <v>1057</v>
      </c>
      <c r="B1037" s="3" t="s">
        <v>8</v>
      </c>
      <c r="C1037" s="3" t="s">
        <v>16</v>
      </c>
      <c r="D1037" s="3" t="str">
        <f>IFERROR(__xludf.DUMMYFUNCTION("GOOGLETRANSLATE(A1037, ""en"", ""zh-CN"")"),"图像")</f>
        <v>图像</v>
      </c>
    </row>
    <row r="1038" ht="15.75" customHeight="1">
      <c r="A1038" s="3" t="s">
        <v>1058</v>
      </c>
      <c r="B1038" s="3" t="s">
        <v>8</v>
      </c>
      <c r="C1038" s="3" t="s">
        <v>16</v>
      </c>
      <c r="D1038" s="3" t="str">
        <f>IFERROR(__xludf.DUMMYFUNCTION("GOOGLETRANSLATE(A1038, ""en"", ""zh-CN"")"),"行业")</f>
        <v>行业</v>
      </c>
    </row>
    <row r="1039" ht="15.75" customHeight="1">
      <c r="A1039" s="3" t="s">
        <v>1059</v>
      </c>
      <c r="B1039" s="3" t="s">
        <v>8</v>
      </c>
      <c r="C1039" s="3" t="s">
        <v>6</v>
      </c>
      <c r="D1039" s="3" t="str">
        <f>IFERROR(__xludf.DUMMYFUNCTION("GOOGLETRANSLATE(A1039, ""en"", ""zh-CN"")"),"互联网")</f>
        <v>互联网</v>
      </c>
    </row>
    <row r="1040" ht="15.75" customHeight="1">
      <c r="A1040" s="3" t="s">
        <v>1060</v>
      </c>
      <c r="B1040" s="3" t="s">
        <v>22</v>
      </c>
      <c r="C1040" s="3" t="s">
        <v>9</v>
      </c>
      <c r="D1040" s="3" t="str">
        <f>IFERROR(__xludf.DUMMYFUNCTION("GOOGLETRANSLATE(A1040, ""en"", ""zh-CN"")"),"假想")</f>
        <v>假想</v>
      </c>
    </row>
    <row r="1041" ht="15.75" customHeight="1">
      <c r="A1041" s="3" t="s">
        <v>1061</v>
      </c>
      <c r="B1041" s="3" t="s">
        <v>8</v>
      </c>
      <c r="C1041" s="3" t="s">
        <v>13</v>
      </c>
      <c r="D1041" s="3" t="str">
        <f>IFERROR(__xludf.DUMMYFUNCTION("GOOGLETRANSLATE(A1041, ""en"", ""zh-CN"")"),"感染")</f>
        <v>感染</v>
      </c>
    </row>
    <row r="1042" ht="15.75" customHeight="1">
      <c r="A1042" s="3" t="s">
        <v>1062</v>
      </c>
      <c r="B1042" s="3" t="s">
        <v>12</v>
      </c>
      <c r="C1042" s="3" t="s">
        <v>13</v>
      </c>
      <c r="D1042" s="3" t="str">
        <f>IFERROR(__xludf.DUMMYFUNCTION("GOOGLETRANSLATE(A1042, ""en"", ""zh-CN"")"),"解释")</f>
        <v>解释</v>
      </c>
    </row>
    <row r="1043" ht="15.75" customHeight="1">
      <c r="A1043" s="3" t="s">
        <v>1063</v>
      </c>
      <c r="B1043" s="3" t="s">
        <v>8</v>
      </c>
      <c r="C1043" s="3" t="s">
        <v>13</v>
      </c>
      <c r="D1043" s="3" t="str">
        <f>IFERROR(__xludf.DUMMYFUNCTION("GOOGLETRANSLATE(A1043, ""en"", ""zh-CN"")"),"想像力")</f>
        <v>想像力</v>
      </c>
    </row>
    <row r="1044" ht="15.75" customHeight="1">
      <c r="A1044" s="3" t="s">
        <v>1064</v>
      </c>
      <c r="B1044" s="3" t="s">
        <v>12</v>
      </c>
      <c r="C1044" s="3" t="s">
        <v>13</v>
      </c>
      <c r="D1044" s="3" t="str">
        <f>IFERROR(__xludf.DUMMYFUNCTION("GOOGLETRANSLATE(A1044, ""en"", ""zh-CN"")"),"打断")</f>
        <v>打断</v>
      </c>
    </row>
    <row r="1045" ht="15.75" customHeight="1">
      <c r="A1045" s="3" t="s">
        <v>1065</v>
      </c>
      <c r="B1045" s="3" t="s">
        <v>12</v>
      </c>
      <c r="C1045" s="3" t="s">
        <v>6</v>
      </c>
      <c r="D1045" s="3" t="str">
        <f>IFERROR(__xludf.DUMMYFUNCTION("GOOGLETRANSLATE(A1045, ""en"", ""zh-CN"")"),"想象")</f>
        <v>想象</v>
      </c>
    </row>
    <row r="1046" ht="15.75" customHeight="1">
      <c r="A1046" s="3" t="s">
        <v>1066</v>
      </c>
      <c r="B1046" s="3" t="s">
        <v>12</v>
      </c>
      <c r="C1046" s="3" t="s">
        <v>13</v>
      </c>
      <c r="D1046" s="3" t="str">
        <f>IFERROR(__xludf.DUMMYFUNCTION("GOOGLETRANSLATE(A1046, ""en"", ""zh-CN"")"),"通知")</f>
        <v>通知</v>
      </c>
    </row>
    <row r="1047" ht="15.75" customHeight="1">
      <c r="A1047" s="3" t="s">
        <v>1067</v>
      </c>
      <c r="B1047" s="3" t="s">
        <v>22</v>
      </c>
      <c r="C1047" s="3" t="s">
        <v>9</v>
      </c>
      <c r="D1047" s="3" t="str">
        <f>IFERROR(__xludf.DUMMYFUNCTION("GOOGLETRANSLATE(A1047, ""en"", ""zh-CN"")"),"即时")</f>
        <v>即时</v>
      </c>
    </row>
    <row r="1048" ht="15.75" customHeight="1">
      <c r="A1048" s="3" t="s">
        <v>1068</v>
      </c>
      <c r="B1048" s="3" t="s">
        <v>22</v>
      </c>
      <c r="C1048" s="3" t="s">
        <v>16</v>
      </c>
      <c r="D1048" s="3" t="str">
        <f>IFERROR(__xludf.DUMMYFUNCTION("GOOGLETRANSLATE(A1048, ""en"", ""zh-CN"")"),"非正式")</f>
        <v>非正式</v>
      </c>
    </row>
    <row r="1049" ht="15.75" customHeight="1">
      <c r="A1049" s="3" t="s">
        <v>1069</v>
      </c>
      <c r="B1049" s="3" t="s">
        <v>88</v>
      </c>
      <c r="C1049" s="3" t="s">
        <v>6</v>
      </c>
      <c r="D1049" s="3" t="str">
        <f>IFERROR(__xludf.DUMMYFUNCTION("GOOGLETRANSLATE(A1049, ""en"", ""zh-CN"")"),"进入")</f>
        <v>进入</v>
      </c>
    </row>
    <row r="1050" ht="15.75" customHeight="1">
      <c r="A1050" s="3" t="s">
        <v>1070</v>
      </c>
      <c r="B1050" s="3" t="s">
        <v>20</v>
      </c>
      <c r="C1050" s="3" t="s">
        <v>16</v>
      </c>
      <c r="D1050" s="3" t="str">
        <f>IFERROR(__xludf.DUMMYFUNCTION("GOOGLETRANSLATE(A1050, ""en"", ""zh-CN"")"),"立即地")</f>
        <v>立即地</v>
      </c>
    </row>
    <row r="1051" ht="15.75" customHeight="1">
      <c r="A1051" s="3" t="s">
        <v>1071</v>
      </c>
      <c r="B1051" s="3" t="s">
        <v>8</v>
      </c>
      <c r="C1051" s="3" t="s">
        <v>6</v>
      </c>
      <c r="D1051" s="3" t="str">
        <f>IFERROR(__xludf.DUMMYFUNCTION("GOOGLETRANSLATE(A1051, ""en"", ""zh-CN"")"),"信息")</f>
        <v>信息</v>
      </c>
    </row>
    <row r="1052" ht="15.75" customHeight="1">
      <c r="A1052" s="3" t="s">
        <v>1072</v>
      </c>
      <c r="B1052" s="3" t="s">
        <v>12</v>
      </c>
      <c r="C1052" s="3" t="s">
        <v>6</v>
      </c>
      <c r="D1052" s="3" t="str">
        <f>IFERROR(__xludf.DUMMYFUNCTION("GOOGLETRANSLATE(A1052, ""en"", ""zh-CN"")"),"介绍")</f>
        <v>介绍</v>
      </c>
    </row>
    <row r="1053" ht="15.75" customHeight="1">
      <c r="A1053" s="3" t="s">
        <v>1073</v>
      </c>
      <c r="B1053" s="3" t="s">
        <v>8</v>
      </c>
      <c r="C1053" s="3" t="s">
        <v>9</v>
      </c>
      <c r="D1053" s="3" t="str">
        <f>IFERROR(__xludf.DUMMYFUNCTION("GOOGLETRANSLATE(A1053, ""en"", ""zh-CN"")"),"移民")</f>
        <v>移民</v>
      </c>
    </row>
    <row r="1054" ht="15.75" customHeight="1">
      <c r="A1054" s="3" t="s">
        <v>1074</v>
      </c>
      <c r="B1054" s="3" t="s">
        <v>8</v>
      </c>
      <c r="C1054" s="3" t="s">
        <v>9</v>
      </c>
      <c r="D1054" s="3" t="str">
        <f>IFERROR(__xludf.DUMMYFUNCTION("GOOGLETRANSLATE(A1054, ""en"", ""zh-CN"")"),"成分")</f>
        <v>成分</v>
      </c>
    </row>
    <row r="1055" ht="15.75" customHeight="1">
      <c r="A1055" s="3" t="s">
        <v>1075</v>
      </c>
      <c r="B1055" s="3" t="s">
        <v>8</v>
      </c>
      <c r="C1055" s="3" t="s">
        <v>16</v>
      </c>
      <c r="D1055" s="3" t="str">
        <f>IFERROR(__xludf.DUMMYFUNCTION("GOOGLETRANSLATE(A1055, ""en"", ""zh-CN"")"),"介绍")</f>
        <v>介绍</v>
      </c>
    </row>
    <row r="1056" ht="15.75" customHeight="1">
      <c r="A1056" s="3" t="s">
        <v>1076</v>
      </c>
      <c r="B1056" s="3" t="s">
        <v>22</v>
      </c>
      <c r="C1056" s="3" t="s">
        <v>13</v>
      </c>
      <c r="D1056" s="3" t="str">
        <f>IFERROR(__xludf.DUMMYFUNCTION("GOOGLETRANSLATE(A1056, ""en"", ""zh-CN"")"),"最初的")</f>
        <v>最初的</v>
      </c>
    </row>
    <row r="1057" ht="15.75" customHeight="1">
      <c r="A1057" s="3" t="s">
        <v>1077</v>
      </c>
      <c r="B1057" s="3" t="s">
        <v>12</v>
      </c>
      <c r="C1057" s="3" t="s">
        <v>16</v>
      </c>
      <c r="D1057" s="3" t="str">
        <f>IFERROR(__xludf.DUMMYFUNCTION("GOOGLETRANSLATE(A1057, ""en"", ""zh-CN"")"),"发明")</f>
        <v>发明</v>
      </c>
    </row>
    <row r="1058" ht="15.75" customHeight="1">
      <c r="A1058" s="3" t="s">
        <v>1078</v>
      </c>
      <c r="B1058" s="3" t="s">
        <v>22</v>
      </c>
      <c r="C1058" s="3" t="s">
        <v>13</v>
      </c>
      <c r="D1058" s="3" t="str">
        <f>IFERROR(__xludf.DUMMYFUNCTION("GOOGLETRANSLATE(A1058, ""en"", ""zh-CN"")"),"不耐烦")</f>
        <v>不耐烦</v>
      </c>
    </row>
    <row r="1059" ht="15.75" customHeight="1">
      <c r="A1059" s="3" t="s">
        <v>1079</v>
      </c>
      <c r="B1059" s="3" t="s">
        <v>20</v>
      </c>
      <c r="C1059" s="3" t="s">
        <v>13</v>
      </c>
      <c r="D1059" s="3" t="str">
        <f>IFERROR(__xludf.DUMMYFUNCTION("GOOGLETRANSLATE(A1059, ""en"", ""zh-CN"")"),"最初")</f>
        <v>最初</v>
      </c>
    </row>
    <row r="1060" ht="15.75" customHeight="1">
      <c r="A1060" s="3" t="s">
        <v>1080</v>
      </c>
      <c r="B1060" s="3" t="s">
        <v>8</v>
      </c>
      <c r="C1060" s="3" t="s">
        <v>16</v>
      </c>
      <c r="D1060" s="3" t="str">
        <f>IFERROR(__xludf.DUMMYFUNCTION("GOOGLETRANSLATE(A1060, ""en"", ""zh-CN"")"),"发明")</f>
        <v>发明</v>
      </c>
    </row>
    <row r="1061" ht="15.75" customHeight="1">
      <c r="A1061" s="3" t="s">
        <v>1081</v>
      </c>
      <c r="B1061" s="3" t="s">
        <v>12</v>
      </c>
      <c r="C1061" s="3" t="s">
        <v>13</v>
      </c>
      <c r="D1061" s="3" t="str">
        <f>IFERROR(__xludf.DUMMYFUNCTION("GOOGLETRANSLATE(A1061, ""en"", ""zh-CN"")"),"意味着")</f>
        <v>意味着</v>
      </c>
    </row>
    <row r="1062" ht="15.75" customHeight="1">
      <c r="A1062" s="3" t="s">
        <v>1082</v>
      </c>
      <c r="B1062" s="3" t="s">
        <v>8</v>
      </c>
      <c r="C1062" s="3" t="s">
        <v>13</v>
      </c>
      <c r="D1062" s="3" t="str">
        <f>IFERROR(__xludf.DUMMYFUNCTION("GOOGLETRANSLATE(A1062, ""en"", ""zh-CN"")"),"倡议")</f>
        <v>倡议</v>
      </c>
    </row>
    <row r="1063" ht="15.75" customHeight="1">
      <c r="A1063" s="3" t="s">
        <v>1083</v>
      </c>
      <c r="B1063" s="3" t="s">
        <v>12</v>
      </c>
      <c r="C1063" s="3" t="s">
        <v>9</v>
      </c>
      <c r="D1063" s="3" t="str">
        <f>IFERROR(__xludf.DUMMYFUNCTION("GOOGLETRANSLATE(A1063, ""en"", ""zh-CN"")"),"投资")</f>
        <v>投资</v>
      </c>
    </row>
    <row r="1064" ht="15.75" customHeight="1">
      <c r="A1064" s="3" t="s">
        <v>1084</v>
      </c>
      <c r="B1064" s="3" t="s">
        <v>12</v>
      </c>
      <c r="C1064" s="3" t="s">
        <v>9</v>
      </c>
      <c r="D1064" s="3" t="str">
        <f>IFERROR(__xludf.DUMMYFUNCTION("GOOGLETRANSLATE(A1064, ""en"", ""zh-CN"")"),"损伤")</f>
        <v>损伤</v>
      </c>
    </row>
    <row r="1065" ht="15.75" customHeight="1">
      <c r="A1065" s="3" t="s">
        <v>1085</v>
      </c>
      <c r="B1065" s="3" t="s">
        <v>12</v>
      </c>
      <c r="C1065" s="3" t="s">
        <v>9</v>
      </c>
      <c r="D1065" s="3" t="str">
        <f>IFERROR(__xludf.DUMMYFUNCTION("GOOGLETRANSLATE(A1065, ""en"", ""zh-CN"")"),"调查")</f>
        <v>调查</v>
      </c>
    </row>
    <row r="1066" ht="15.75" customHeight="1">
      <c r="A1066" s="3" t="s">
        <v>1086</v>
      </c>
      <c r="B1066" s="3" t="s">
        <v>8</v>
      </c>
      <c r="C1066" s="3" t="s">
        <v>9</v>
      </c>
      <c r="D1066" s="3" t="str">
        <f>IFERROR(__xludf.DUMMYFUNCTION("GOOGLETRANSLATE(A1066, ""en"", ""zh-CN"")"),"重要性")</f>
        <v>重要性</v>
      </c>
    </row>
    <row r="1067" ht="15.75" customHeight="1">
      <c r="A1067" s="3" t="s">
        <v>1087</v>
      </c>
      <c r="B1067" s="3" t="s">
        <v>22</v>
      </c>
      <c r="C1067" s="3" t="s">
        <v>9</v>
      </c>
      <c r="D1067" s="3" t="str">
        <f>IFERROR(__xludf.DUMMYFUNCTION("GOOGLETRANSLATE(A1067, ""en"", ""zh-CN"")"),"受伤")</f>
        <v>受伤</v>
      </c>
    </row>
    <row r="1068" ht="15.75" customHeight="1">
      <c r="A1068" s="3" t="s">
        <v>1088</v>
      </c>
      <c r="B1068" s="3" t="s">
        <v>8</v>
      </c>
      <c r="C1068" s="3" t="s">
        <v>13</v>
      </c>
      <c r="D1068" s="3" t="str">
        <f>IFERROR(__xludf.DUMMYFUNCTION("GOOGLETRANSLATE(A1068, ""en"", ""zh-CN"")"),"调查")</f>
        <v>调查</v>
      </c>
    </row>
    <row r="1069" ht="15.75" customHeight="1">
      <c r="A1069" s="3" t="s">
        <v>1089</v>
      </c>
      <c r="B1069" s="3" t="s">
        <v>22</v>
      </c>
      <c r="C1069" s="3" t="s">
        <v>6</v>
      </c>
      <c r="D1069" s="3" t="str">
        <f>IFERROR(__xludf.DUMMYFUNCTION("GOOGLETRANSLATE(A1069, ""en"", ""zh-CN"")"),"重要的")</f>
        <v>重要的</v>
      </c>
    </row>
    <row r="1070" ht="15.75" customHeight="1">
      <c r="A1070" s="3" t="s">
        <v>1090</v>
      </c>
      <c r="B1070" s="3" t="s">
        <v>8</v>
      </c>
      <c r="C1070" s="3" t="s">
        <v>16</v>
      </c>
      <c r="D1070" s="3" t="str">
        <f>IFERROR(__xludf.DUMMYFUNCTION("GOOGLETRANSLATE(A1070, ""en"", ""zh-CN"")"),"受伤")</f>
        <v>受伤</v>
      </c>
    </row>
    <row r="1071" ht="15.75" customHeight="1">
      <c r="A1071" s="3" t="s">
        <v>1091</v>
      </c>
      <c r="B1071" s="3" t="s">
        <v>8</v>
      </c>
      <c r="C1071" s="3" t="s">
        <v>13</v>
      </c>
      <c r="D1071" s="3" t="str">
        <f>IFERROR(__xludf.DUMMYFUNCTION("GOOGLETRANSLATE(A1071, ""en"", ""zh-CN"")"),"投资")</f>
        <v>投资</v>
      </c>
    </row>
    <row r="1072" ht="15.75" customHeight="1">
      <c r="A1072" s="3" t="s">
        <v>1092</v>
      </c>
      <c r="B1072" s="3" t="s">
        <v>12</v>
      </c>
      <c r="C1072" s="3" t="s">
        <v>13</v>
      </c>
      <c r="D1072" s="3" t="str">
        <f>IFERROR(__xludf.DUMMYFUNCTION("GOOGLETRANSLATE(A1072, ""en"", ""zh-CN"")"),"强加")</f>
        <v>强加</v>
      </c>
    </row>
    <row r="1073" ht="15.75" customHeight="1">
      <c r="A1073" s="3" t="s">
        <v>1093</v>
      </c>
      <c r="B1073" s="3" t="s">
        <v>22</v>
      </c>
      <c r="C1073" s="3" t="s">
        <v>13</v>
      </c>
      <c r="D1073" s="3" t="str">
        <f>IFERROR(__xludf.DUMMYFUNCTION("GOOGLETRANSLATE(A1073, ""en"", ""zh-CN"")"),"内")</f>
        <v>内</v>
      </c>
    </row>
    <row r="1074" ht="15.75" customHeight="1">
      <c r="A1074" s="3" t="s">
        <v>1094</v>
      </c>
      <c r="B1074" s="3" t="s">
        <v>8</v>
      </c>
      <c r="C1074" s="3" t="s">
        <v>16</v>
      </c>
      <c r="D1074" s="3" t="str">
        <f>IFERROR(__xludf.DUMMYFUNCTION("GOOGLETRANSLATE(A1074, ""en"", ""zh-CN"")"),"邀请")</f>
        <v>邀请</v>
      </c>
    </row>
    <row r="1075" ht="15.75" customHeight="1">
      <c r="A1075" s="3" t="s">
        <v>1095</v>
      </c>
      <c r="B1075" s="3" t="s">
        <v>22</v>
      </c>
      <c r="C1075" s="3" t="s">
        <v>16</v>
      </c>
      <c r="D1075" s="3" t="str">
        <f>IFERROR(__xludf.DUMMYFUNCTION("GOOGLETRANSLATE(A1075, ""en"", ""zh-CN"")"),"不可能的")</f>
        <v>不可能的</v>
      </c>
    </row>
    <row r="1076" ht="15.75" customHeight="1">
      <c r="A1076" s="3" t="s">
        <v>1096</v>
      </c>
      <c r="B1076" s="3" t="s">
        <v>22</v>
      </c>
      <c r="C1076" s="3" t="s">
        <v>9</v>
      </c>
      <c r="D1076" s="3" t="str">
        <f>IFERROR(__xludf.DUMMYFUNCTION("GOOGLETRANSLATE(A1076, ""en"", ""zh-CN"")"),"清白的")</f>
        <v>清白的</v>
      </c>
    </row>
    <row r="1077" ht="15.75" customHeight="1">
      <c r="A1077" s="3" t="s">
        <v>1097</v>
      </c>
      <c r="B1077" s="3" t="s">
        <v>12</v>
      </c>
      <c r="C1077" s="3" t="s">
        <v>16</v>
      </c>
      <c r="D1077" s="3" t="str">
        <f>IFERROR(__xludf.DUMMYFUNCTION("GOOGLETRANSLATE(A1077, ""en"", ""zh-CN"")"),"邀请")</f>
        <v>邀请</v>
      </c>
    </row>
    <row r="1078" ht="15.75" customHeight="1">
      <c r="A1078" s="3" t="s">
        <v>1098</v>
      </c>
      <c r="B1078" s="3" t="s">
        <v>12</v>
      </c>
      <c r="C1078" s="3" t="s">
        <v>13</v>
      </c>
      <c r="D1078" s="3" t="str">
        <f>IFERROR(__xludf.DUMMYFUNCTION("GOOGLETRANSLATE(A1078, ""en"", ""zh-CN"")"),"印象深刻")</f>
        <v>印象深刻</v>
      </c>
    </row>
    <row r="1079" ht="15.75" customHeight="1">
      <c r="A1079" s="3" t="s">
        <v>1099</v>
      </c>
      <c r="B1079" s="3" t="s">
        <v>8</v>
      </c>
      <c r="C1079" s="3" t="s">
        <v>16</v>
      </c>
      <c r="D1079" s="3" t="str">
        <f>IFERROR(__xludf.DUMMYFUNCTION("GOOGLETRANSLATE(A1079, ""en"", ""zh-CN"")"),"昆虫")</f>
        <v>昆虫</v>
      </c>
    </row>
    <row r="1080" ht="15.75" customHeight="1">
      <c r="A1080" s="3" t="s">
        <v>1100</v>
      </c>
      <c r="B1080" s="3" t="s">
        <v>12</v>
      </c>
      <c r="C1080" s="3" t="s">
        <v>16</v>
      </c>
      <c r="D1080" s="3" t="str">
        <f>IFERROR(__xludf.DUMMYFUNCTION("GOOGLETRANSLATE(A1080, ""en"", ""zh-CN"")"),"涉及")</f>
        <v>涉及</v>
      </c>
    </row>
    <row r="1081" ht="15.75" customHeight="1">
      <c r="A1081" s="3" t="s">
        <v>1101</v>
      </c>
      <c r="B1081" s="3" t="s">
        <v>22</v>
      </c>
      <c r="C1081" s="3" t="s">
        <v>13</v>
      </c>
      <c r="D1081" s="3" t="str">
        <f>IFERROR(__xludf.DUMMYFUNCTION("GOOGLETRANSLATE(A1081, ""en"", ""zh-CN"")"),"印象深刻")</f>
        <v>印象深刻</v>
      </c>
    </row>
    <row r="1082" ht="15.75" customHeight="1">
      <c r="A1082" s="3" t="s">
        <v>1102</v>
      </c>
      <c r="B1082" s="3" t="s">
        <v>22</v>
      </c>
      <c r="C1082" s="3" t="s">
        <v>9</v>
      </c>
      <c r="D1082" s="3" t="str">
        <f>IFERROR(__xludf.DUMMYFUNCTION("GOOGLETRANSLATE(A1082, ""en"", ""zh-CN"")"),"涉及")</f>
        <v>涉及</v>
      </c>
    </row>
    <row r="1083" ht="15.75" customHeight="1">
      <c r="A1083" s="3" t="s">
        <v>1103</v>
      </c>
      <c r="B1083" s="3" t="s">
        <v>8</v>
      </c>
      <c r="C1083" s="3" t="s">
        <v>9</v>
      </c>
      <c r="D1083" s="3" t="str">
        <f>IFERROR(__xludf.DUMMYFUNCTION("GOOGLETRANSLATE(A1083, ""en"", ""zh-CN"")"),"印象")</f>
        <v>印象</v>
      </c>
    </row>
    <row r="1084" ht="15.75" customHeight="1">
      <c r="A1084" s="3" t="s">
        <v>1104</v>
      </c>
      <c r="B1084" s="3" t="s">
        <v>8</v>
      </c>
      <c r="C1084" s="3" t="s">
        <v>13</v>
      </c>
      <c r="D1084" s="3" t="str">
        <f>IFERROR(__xludf.DUMMYFUNCTION("GOOGLETRANSLATE(A1084, ""en"", ""zh-CN"")"),"洞察力")</f>
        <v>洞察力</v>
      </c>
    </row>
    <row r="1085" ht="15.75" customHeight="1">
      <c r="A1085" s="3" t="s">
        <v>1105</v>
      </c>
      <c r="B1085" s="3" t="s">
        <v>22</v>
      </c>
      <c r="C1085" s="3" t="s">
        <v>9</v>
      </c>
      <c r="D1085" s="3" t="str">
        <f>IFERROR(__xludf.DUMMYFUNCTION("GOOGLETRANSLATE(A1085, ""en"", ""zh-CN"")"),"感人的")</f>
        <v>感人的</v>
      </c>
    </row>
    <row r="1086" ht="15.75" customHeight="1">
      <c r="A1086" s="3" t="s">
        <v>1106</v>
      </c>
      <c r="B1086" s="3" t="s">
        <v>12</v>
      </c>
      <c r="C1086" s="3" t="s">
        <v>13</v>
      </c>
      <c r="D1086" s="3" t="str">
        <f>IFERROR(__xludf.DUMMYFUNCTION("GOOGLETRANSLATE(A1086, ""en"", ""zh-CN"")"),"坚持")</f>
        <v>坚持</v>
      </c>
    </row>
    <row r="1087" ht="15.75" customHeight="1">
      <c r="A1087" s="3" t="s">
        <v>1107</v>
      </c>
      <c r="B1087" s="3" t="s">
        <v>8</v>
      </c>
      <c r="C1087" s="3" t="s">
        <v>6</v>
      </c>
      <c r="D1087" s="3" t="str">
        <f>IFERROR(__xludf.DUMMYFUNCTION("GOOGLETRANSLATE(A1087, ""en"", ""zh-CN"")"),"岛")</f>
        <v>岛</v>
      </c>
    </row>
    <row r="1088" ht="15.75" customHeight="1">
      <c r="A1088" s="3" t="s">
        <v>1108</v>
      </c>
      <c r="B1088" s="3" t="s">
        <v>12</v>
      </c>
      <c r="C1088" s="3" t="s">
        <v>6</v>
      </c>
      <c r="D1088" s="3" t="str">
        <f>IFERROR(__xludf.DUMMYFUNCTION("GOOGLETRANSLATE(A1088, ""en"", ""zh-CN"")"),"提升")</f>
        <v>提升</v>
      </c>
    </row>
    <row r="1089" ht="15.75" customHeight="1">
      <c r="A1089" s="3" t="s">
        <v>1109</v>
      </c>
      <c r="B1089" s="3" t="s">
        <v>12</v>
      </c>
      <c r="C1089" s="3" t="s">
        <v>13</v>
      </c>
      <c r="D1089" s="3" t="str">
        <f>IFERROR(__xludf.DUMMYFUNCTION("GOOGLETRANSLATE(A1089, ""en"", ""zh-CN"")"),"启发")</f>
        <v>启发</v>
      </c>
    </row>
    <row r="1090" ht="15.75" customHeight="1">
      <c r="A1090" s="3" t="s">
        <v>1110</v>
      </c>
      <c r="B1090" s="3" t="s">
        <v>8</v>
      </c>
      <c r="C1090" s="3" t="s">
        <v>9</v>
      </c>
      <c r="D1090" s="3" t="str">
        <f>IFERROR(__xludf.DUMMYFUNCTION("GOOGLETRANSLATE(A1090, ""en"", ""zh-CN"")"),"改进")</f>
        <v>改进</v>
      </c>
    </row>
    <row r="1091" ht="15.75" customHeight="1">
      <c r="A1091" s="3" t="s">
        <v>1111</v>
      </c>
      <c r="B1091" s="3" t="s">
        <v>12</v>
      </c>
      <c r="C1091" s="3" t="s">
        <v>13</v>
      </c>
      <c r="D1091" s="3" t="str">
        <f>IFERROR(__xludf.DUMMYFUNCTION("GOOGLETRANSLATE(A1091, ""en"", ""zh-CN"")"),"安装")</f>
        <v>安装</v>
      </c>
    </row>
    <row r="1092" ht="15.75" customHeight="1">
      <c r="A1092" s="3" t="s">
        <v>1112</v>
      </c>
      <c r="B1092" s="3" t="s">
        <v>8</v>
      </c>
      <c r="C1092" s="3" t="s">
        <v>9</v>
      </c>
      <c r="D1092" s="3" t="str">
        <f>IFERROR(__xludf.DUMMYFUNCTION("GOOGLETRANSLATE(A1092, ""en"", ""zh-CN"")"),"它")</f>
        <v>它</v>
      </c>
    </row>
    <row r="1093" ht="15.75" customHeight="1">
      <c r="A1093" s="3" t="s">
        <v>1113</v>
      </c>
      <c r="B1093" s="3" t="s">
        <v>8</v>
      </c>
      <c r="C1093" s="3" t="s">
        <v>13</v>
      </c>
      <c r="D1093" s="3" t="str">
        <f>IFERROR(__xludf.DUMMYFUNCTION("GOOGLETRANSLATE(A1093, ""en"", ""zh-CN"")"),"实例")</f>
        <v>实例</v>
      </c>
    </row>
    <row r="1094" ht="15.75" customHeight="1">
      <c r="A1094" s="3" t="s">
        <v>1114</v>
      </c>
      <c r="B1094" s="3" t="s">
        <v>146</v>
      </c>
      <c r="C1094" s="3" t="s">
        <v>6</v>
      </c>
      <c r="D1094" s="3" t="str">
        <f>IFERROR(__xludf.DUMMYFUNCTION("GOOGLETRANSLATE(A1094, ""en"", ""zh-CN"")"),"它")</f>
        <v>它</v>
      </c>
    </row>
    <row r="1095" ht="15.75" customHeight="1">
      <c r="A1095" s="3" t="s">
        <v>1115</v>
      </c>
      <c r="B1095" s="3" t="s">
        <v>8</v>
      </c>
      <c r="C1095" s="3" t="s">
        <v>13</v>
      </c>
      <c r="D1095" s="3" t="str">
        <f>IFERROR(__xludf.DUMMYFUNCTION("GOOGLETRANSLATE(A1095, ""en"", ""zh-CN"")"),"英寸")</f>
        <v>英寸</v>
      </c>
    </row>
    <row r="1096" ht="15.75" customHeight="1">
      <c r="A1096" s="3" t="s">
        <v>1116</v>
      </c>
      <c r="B1096" s="3" t="s">
        <v>20</v>
      </c>
      <c r="C1096" s="3" t="s">
        <v>16</v>
      </c>
      <c r="D1096" s="3" t="str">
        <f>IFERROR(__xludf.DUMMYFUNCTION("GOOGLETRANSLATE(A1096, ""en"", ""zh-CN"")"),"反而")</f>
        <v>反而</v>
      </c>
    </row>
    <row r="1097" ht="15.75" customHeight="1">
      <c r="A1097" s="3" t="s">
        <v>1117</v>
      </c>
      <c r="B1097" s="3" t="s">
        <v>8</v>
      </c>
      <c r="C1097" s="3" t="s">
        <v>16</v>
      </c>
      <c r="D1097" s="3" t="str">
        <f>IFERROR(__xludf.DUMMYFUNCTION("GOOGLETRANSLATE(A1097, ""en"", ""zh-CN"")"),"物品")</f>
        <v>物品</v>
      </c>
    </row>
    <row r="1098" ht="15.75" customHeight="1">
      <c r="A1098" s="3" t="s">
        <v>1118</v>
      </c>
      <c r="B1098" s="3" t="s">
        <v>8</v>
      </c>
      <c r="C1098" s="3" t="s">
        <v>13</v>
      </c>
      <c r="D1098" s="3" t="str">
        <f>IFERROR(__xludf.DUMMYFUNCTION("GOOGLETRANSLATE(A1098, ""en"", ""zh-CN"")"),"事件")</f>
        <v>事件</v>
      </c>
    </row>
    <row r="1099" ht="15.75" customHeight="1">
      <c r="A1099" s="3" t="s">
        <v>1119</v>
      </c>
      <c r="B1099" s="3" t="s">
        <v>8</v>
      </c>
      <c r="C1099" s="3" t="s">
        <v>13</v>
      </c>
      <c r="D1099" s="3" t="str">
        <f>IFERROR(__xludf.DUMMYFUNCTION("GOOGLETRANSLATE(A1099, ""en"", ""zh-CN"")"),"研究所")</f>
        <v>研究所</v>
      </c>
    </row>
    <row r="1100" ht="15.75" customHeight="1">
      <c r="A1100" s="3" t="s">
        <v>1120</v>
      </c>
      <c r="B1100" s="3" t="s">
        <v>783</v>
      </c>
      <c r="C1100" s="3" t="s">
        <v>6</v>
      </c>
      <c r="D1100" s="3" t="str">
        <f>IFERROR(__xludf.DUMMYFUNCTION("GOOGLETRANSLATE(A1100, ""en"", ""zh-CN"")"),"它是")</f>
        <v>它是</v>
      </c>
    </row>
    <row r="1101" ht="15.75" customHeight="1">
      <c r="A1101" s="3" t="s">
        <v>1121</v>
      </c>
      <c r="B1101" s="3" t="s">
        <v>12</v>
      </c>
      <c r="C1101" s="3" t="s">
        <v>6</v>
      </c>
      <c r="D1101" s="3" t="str">
        <f>IFERROR(__xludf.DUMMYFUNCTION("GOOGLETRANSLATE(A1101, ""en"", ""zh-CN"")"),"包括")</f>
        <v>包括</v>
      </c>
    </row>
    <row r="1102" ht="15.75" customHeight="1">
      <c r="A1102" s="3" t="s">
        <v>1122</v>
      </c>
      <c r="B1102" s="3" t="s">
        <v>8</v>
      </c>
      <c r="C1102" s="3" t="s">
        <v>13</v>
      </c>
      <c r="D1102" s="3" t="str">
        <f>IFERROR(__xludf.DUMMYFUNCTION("GOOGLETRANSLATE(A1102, ""en"", ""zh-CN"")"),"机构")</f>
        <v>机构</v>
      </c>
    </row>
    <row r="1103" ht="15.75" customHeight="1">
      <c r="A1103" s="3" t="s">
        <v>1123</v>
      </c>
      <c r="B1103" s="3" t="s">
        <v>146</v>
      </c>
      <c r="C1103" s="3" t="s">
        <v>16</v>
      </c>
      <c r="D1103" s="3" t="str">
        <f>IFERROR(__xludf.DUMMYFUNCTION("GOOGLETRANSLATE(A1103, ""en"", ""zh-CN"")"),"本身")</f>
        <v>本身</v>
      </c>
    </row>
    <row r="1104" ht="15.75" customHeight="1">
      <c r="A1104" s="3" t="s">
        <v>1124</v>
      </c>
      <c r="B1104" s="3" t="s">
        <v>22</v>
      </c>
      <c r="C1104" s="3" t="s">
        <v>16</v>
      </c>
      <c r="D1104" s="3" t="str">
        <f>IFERROR(__xludf.DUMMYFUNCTION("GOOGLETRANSLATE(A1104, ""en"", ""zh-CN"")"),"包括")</f>
        <v>包括</v>
      </c>
    </row>
    <row r="1105" ht="15.75" customHeight="1">
      <c r="A1105" s="3" t="s">
        <v>1125</v>
      </c>
      <c r="B1105" s="3" t="s">
        <v>8</v>
      </c>
      <c r="C1105" s="3" t="s">
        <v>16</v>
      </c>
      <c r="D1105" s="3" t="str">
        <f>IFERROR(__xludf.DUMMYFUNCTION("GOOGLETRANSLATE(A1105, ""en"", ""zh-CN"")"),"操作说明")</f>
        <v>操作说明</v>
      </c>
    </row>
    <row r="1106" ht="15.75" customHeight="1">
      <c r="A1106" s="3" t="s">
        <v>1126</v>
      </c>
      <c r="B1106" s="3" t="s">
        <v>8</v>
      </c>
      <c r="C1106" s="3" t="s">
        <v>6</v>
      </c>
      <c r="D1106" s="3" t="str">
        <f>IFERROR(__xludf.DUMMYFUNCTION("GOOGLETRANSLATE(A1106, ""en"", ""zh-CN"")"),"夹克")</f>
        <v>夹克</v>
      </c>
    </row>
    <row r="1107" ht="15.75" customHeight="1">
      <c r="A1107" s="3" t="s">
        <v>1127</v>
      </c>
      <c r="B1107" s="3" t="s">
        <v>8</v>
      </c>
      <c r="C1107" s="3" t="s">
        <v>6</v>
      </c>
      <c r="D1107" s="3" t="str">
        <f>IFERROR(__xludf.DUMMYFUNCTION("GOOGLETRANSLATE(A1107, ""en"", ""zh-CN"")"),"七月")</f>
        <v>七月</v>
      </c>
    </row>
    <row r="1108" ht="15.75" customHeight="1">
      <c r="A1108" s="3" t="s">
        <v>1128</v>
      </c>
      <c r="B1108" s="3" t="s">
        <v>8</v>
      </c>
      <c r="C1108" s="3" t="s">
        <v>16</v>
      </c>
      <c r="D1108" s="3" t="str">
        <f>IFERROR(__xludf.DUMMYFUNCTION("GOOGLETRANSLATE(A1108, ""en"", ""zh-CN"")"),"果酱")</f>
        <v>果酱</v>
      </c>
    </row>
    <row r="1109" ht="15.75" customHeight="1">
      <c r="A1109" s="3" t="s">
        <v>1129</v>
      </c>
      <c r="B1109" s="3" t="s">
        <v>8</v>
      </c>
      <c r="C1109" s="3" t="s">
        <v>9</v>
      </c>
      <c r="D1109" s="3" t="str">
        <f>IFERROR(__xludf.DUMMYFUNCTION("GOOGLETRANSLATE(A1109, ""en"", ""zh-CN"")"),"杂志")</f>
        <v>杂志</v>
      </c>
    </row>
    <row r="1110" ht="15.75" customHeight="1">
      <c r="A1110" s="3" t="s">
        <v>1130</v>
      </c>
      <c r="B1110" s="3" t="s">
        <v>8</v>
      </c>
      <c r="C1110" s="3" t="s">
        <v>6</v>
      </c>
      <c r="D1110" s="3" t="str">
        <f>IFERROR(__xludf.DUMMYFUNCTION("GOOGLETRANSLATE(A1110, ""en"", ""zh-CN"")"),"一月")</f>
        <v>一月</v>
      </c>
    </row>
    <row r="1111" ht="15.75" customHeight="1">
      <c r="A1111" s="3" t="s">
        <v>1131</v>
      </c>
      <c r="B1111" s="3" t="s">
        <v>8</v>
      </c>
      <c r="C1111" s="3" t="s">
        <v>16</v>
      </c>
      <c r="D1111" s="3" t="str">
        <f>IFERROR(__xludf.DUMMYFUNCTION("GOOGLETRANSLATE(A1111, ""en"", ""zh-CN"")"),"记者")</f>
        <v>记者</v>
      </c>
    </row>
    <row r="1112" ht="15.75" customHeight="1">
      <c r="A1112" s="3" t="s">
        <v>1132</v>
      </c>
      <c r="B1112" s="3" t="s">
        <v>8</v>
      </c>
      <c r="C1112" s="3" t="s">
        <v>6</v>
      </c>
      <c r="D1112" s="3" t="str">
        <f>IFERROR(__xludf.DUMMYFUNCTION("GOOGLETRANSLATE(A1112, ""en"", ""zh-CN"")"),"六月")</f>
        <v>六月</v>
      </c>
    </row>
    <row r="1113" ht="15.75" customHeight="1">
      <c r="A1113" s="3" t="s">
        <v>1133</v>
      </c>
      <c r="B1113" s="3" t="s">
        <v>8</v>
      </c>
      <c r="C1113" s="3" t="s">
        <v>16</v>
      </c>
      <c r="D1113" s="3" t="str">
        <f>IFERROR(__xludf.DUMMYFUNCTION("GOOGLETRANSLATE(A1113, ""en"", ""zh-CN"")"),"爵士乐")</f>
        <v>爵士乐</v>
      </c>
    </row>
    <row r="1114" ht="15.75" customHeight="1">
      <c r="A1114" s="3" t="s">
        <v>1134</v>
      </c>
      <c r="B1114" s="3" t="s">
        <v>8</v>
      </c>
      <c r="C1114" s="3" t="s">
        <v>6</v>
      </c>
      <c r="D1114" s="3" t="str">
        <f>IFERROR(__xludf.DUMMYFUNCTION("GOOGLETRANSLATE(A1114, ""en"", ""zh-CN"")"),"旅行")</f>
        <v>旅行</v>
      </c>
    </row>
    <row r="1115" ht="15.75" customHeight="1">
      <c r="A1115" s="3" t="s">
        <v>1135</v>
      </c>
      <c r="B1115" s="3" t="s">
        <v>22</v>
      </c>
      <c r="C1115" s="3" t="s">
        <v>13</v>
      </c>
      <c r="D1115" s="3" t="str">
        <f>IFERROR(__xludf.DUMMYFUNCTION("GOOGLETRANSLATE(A1115, ""en"", ""zh-CN"")"),"初级")</f>
        <v>初级</v>
      </c>
    </row>
    <row r="1116" ht="15.75" customHeight="1">
      <c r="A1116" s="3" t="s">
        <v>1136</v>
      </c>
      <c r="B1116" s="3" t="s">
        <v>8</v>
      </c>
      <c r="C1116" s="3" t="s">
        <v>6</v>
      </c>
      <c r="D1116" s="3" t="str">
        <f>IFERROR(__xludf.DUMMYFUNCTION("GOOGLETRANSLATE(A1116, ""en"", ""zh-CN"")"),"牛仔裤")</f>
        <v>牛仔裤</v>
      </c>
    </row>
    <row r="1117" ht="15.75" customHeight="1">
      <c r="A1117" s="3" t="s">
        <v>1137</v>
      </c>
      <c r="B1117" s="3" t="s">
        <v>8</v>
      </c>
      <c r="C1117" s="3" t="s">
        <v>13</v>
      </c>
      <c r="D1117" s="3" t="str">
        <f>IFERROR(__xludf.DUMMYFUNCTION("GOOGLETRANSLATE(A1117, ""en"", ""zh-CN"")"),"喜悦")</f>
        <v>喜悦</v>
      </c>
    </row>
    <row r="1118" ht="15.75" customHeight="1">
      <c r="A1118" s="3" t="s">
        <v>1138</v>
      </c>
      <c r="B1118" s="3" t="s">
        <v>20</v>
      </c>
      <c r="C1118" s="3" t="s">
        <v>6</v>
      </c>
      <c r="D1118" s="3" t="str">
        <f>IFERROR(__xludf.DUMMYFUNCTION("GOOGLETRANSLATE(A1118, ""en"", ""zh-CN"")"),"只是")</f>
        <v>只是</v>
      </c>
    </row>
    <row r="1119" ht="15.75" customHeight="1">
      <c r="A1119" s="3" t="s">
        <v>1139</v>
      </c>
      <c r="B1119" s="3" t="s">
        <v>8</v>
      </c>
      <c r="C1119" s="3" t="s">
        <v>16</v>
      </c>
      <c r="D1119" s="3" t="str">
        <f>IFERROR(__xludf.DUMMYFUNCTION("GOOGLETRANSLATE(A1119, ""en"", ""zh-CN"")"),"首饰")</f>
        <v>首饰</v>
      </c>
    </row>
    <row r="1120" ht="15.75" customHeight="1">
      <c r="A1120" s="3" t="s">
        <v>1140</v>
      </c>
      <c r="B1120" s="3" t="s">
        <v>8</v>
      </c>
      <c r="C1120" s="3" t="s">
        <v>13</v>
      </c>
      <c r="D1120" s="3" t="str">
        <f>IFERROR(__xludf.DUMMYFUNCTION("GOOGLETRANSLATE(A1120, ""en"", ""zh-CN"")"),"正义")</f>
        <v>正义</v>
      </c>
    </row>
    <row r="1121" ht="15.75" customHeight="1">
      <c r="A1121" s="3" t="s">
        <v>1141</v>
      </c>
      <c r="B1121" s="3" t="s">
        <v>8</v>
      </c>
      <c r="C1121" s="3" t="s">
        <v>6</v>
      </c>
      <c r="D1121" s="3" t="str">
        <f>IFERROR(__xludf.DUMMYFUNCTION("GOOGLETRANSLATE(A1121, ""en"", ""zh-CN"")"),"工作")</f>
        <v>工作</v>
      </c>
    </row>
    <row r="1122" ht="15.75" customHeight="1">
      <c r="A1122" s="3" t="s">
        <v>1142</v>
      </c>
      <c r="B1122" s="3" t="s">
        <v>8</v>
      </c>
      <c r="C1122" s="3" t="s">
        <v>13</v>
      </c>
      <c r="D1122" s="3" t="str">
        <f>IFERROR(__xludf.DUMMYFUNCTION("GOOGLETRANSLATE(A1122, ""en"", ""zh-CN"")"),"判断")</f>
        <v>判断</v>
      </c>
    </row>
    <row r="1123" ht="15.75" customHeight="1">
      <c r="A1123" s="3" t="s">
        <v>1143</v>
      </c>
      <c r="B1123" s="3" t="s">
        <v>12</v>
      </c>
      <c r="C1123" s="3" t="s">
        <v>13</v>
      </c>
      <c r="D1123" s="3" t="str">
        <f>IFERROR(__xludf.DUMMYFUNCTION("GOOGLETRANSLATE(A1123, ""en"", ""zh-CN"")"),"证明合法")</f>
        <v>证明合法</v>
      </c>
    </row>
    <row r="1124" ht="15.75" customHeight="1">
      <c r="A1124" s="3" t="s">
        <v>1144</v>
      </c>
      <c r="B1124" s="3" t="s">
        <v>12</v>
      </c>
      <c r="C1124" s="3" t="s">
        <v>6</v>
      </c>
      <c r="D1124" s="3" t="str">
        <f>IFERROR(__xludf.DUMMYFUNCTION("GOOGLETRANSLATE(A1124, ""en"", ""zh-CN"")"),"加入")</f>
        <v>加入</v>
      </c>
    </row>
    <row r="1125" ht="15.75" customHeight="1">
      <c r="A1125" s="3" t="s">
        <v>1145</v>
      </c>
      <c r="B1125" s="3" t="s">
        <v>8</v>
      </c>
      <c r="C1125" s="3" t="s">
        <v>6</v>
      </c>
      <c r="D1125" s="3" t="str">
        <f>IFERROR(__xludf.DUMMYFUNCTION("GOOGLETRANSLATE(A1125, ""en"", ""zh-CN"")"),"果汁")</f>
        <v>果汁</v>
      </c>
    </row>
    <row r="1126" ht="15.75" customHeight="1">
      <c r="A1126" s="3" t="s">
        <v>1146</v>
      </c>
      <c r="B1126" s="3" t="s">
        <v>22</v>
      </c>
      <c r="C1126" s="3" t="s">
        <v>9</v>
      </c>
      <c r="D1126" s="3" t="str">
        <f>IFERROR(__xludf.DUMMYFUNCTION("GOOGLETRANSLATE(A1126, ""en"", ""zh-CN"")"),"敏锐的")</f>
        <v>敏锐的</v>
      </c>
    </row>
    <row r="1127" ht="15.75" customHeight="1">
      <c r="A1127" s="3" t="s">
        <v>1147</v>
      </c>
      <c r="B1127" s="3" t="s">
        <v>8</v>
      </c>
      <c r="C1127" s="3" t="s">
        <v>9</v>
      </c>
      <c r="D1127" s="3" t="str">
        <f>IFERROR(__xludf.DUMMYFUNCTION("GOOGLETRANSLATE(A1127, ""en"", ""zh-CN"")"),"杀人")</f>
        <v>杀人</v>
      </c>
    </row>
    <row r="1128" ht="15.75" customHeight="1">
      <c r="A1128" s="3" t="s">
        <v>1148</v>
      </c>
      <c r="B1128" s="3" t="s">
        <v>8</v>
      </c>
      <c r="C1128" s="3" t="s">
        <v>16</v>
      </c>
      <c r="D1128" s="3" t="str">
        <f>IFERROR(__xludf.DUMMYFUNCTION("GOOGLETRANSLATE(A1128, ""en"", ""zh-CN"")"),"膝盖")</f>
        <v>膝盖</v>
      </c>
    </row>
    <row r="1129" ht="15.75" customHeight="1">
      <c r="A1129" s="3" t="s">
        <v>1149</v>
      </c>
      <c r="B1129" s="3" t="s">
        <v>12</v>
      </c>
      <c r="C1129" s="3" t="s">
        <v>6</v>
      </c>
      <c r="D1129" s="3" t="str">
        <f>IFERROR(__xludf.DUMMYFUNCTION("GOOGLETRANSLATE(A1129, ""en"", ""zh-CN"")"),"保持")</f>
        <v>保持</v>
      </c>
    </row>
    <row r="1130" ht="15.75" customHeight="1">
      <c r="A1130" s="3" t="s">
        <v>1150</v>
      </c>
      <c r="B1130" s="3" t="s">
        <v>8</v>
      </c>
      <c r="C1130" s="3" t="s">
        <v>6</v>
      </c>
      <c r="D1130" s="3" t="str">
        <f>IFERROR(__xludf.DUMMYFUNCTION("GOOGLETRANSLATE(A1130, ""en"", ""zh-CN"")"),"公里")</f>
        <v>公里</v>
      </c>
    </row>
    <row r="1131" ht="15.75" customHeight="1">
      <c r="A1131" s="3" t="s">
        <v>1151</v>
      </c>
      <c r="B1131" s="3" t="s">
        <v>8</v>
      </c>
      <c r="C1131" s="3" t="s">
        <v>16</v>
      </c>
      <c r="D1131" s="3" t="str">
        <f>IFERROR(__xludf.DUMMYFUNCTION("GOOGLETRANSLATE(A1131, ""en"", ""zh-CN"")"),"刀")</f>
        <v>刀</v>
      </c>
    </row>
    <row r="1132" ht="15.75" customHeight="1">
      <c r="A1132" s="3" t="s">
        <v>1152</v>
      </c>
      <c r="B1132" s="3" t="s">
        <v>8</v>
      </c>
      <c r="C1132" s="3" t="s">
        <v>9</v>
      </c>
      <c r="D1132" s="3" t="str">
        <f>IFERROR(__xludf.DUMMYFUNCTION("GOOGLETRANSLATE(A1132, ""en"", ""zh-CN"")"),"键盘")</f>
        <v>键盘</v>
      </c>
    </row>
    <row r="1133" ht="15.75" customHeight="1">
      <c r="A1133" s="3" t="s">
        <v>1153</v>
      </c>
      <c r="B1133" s="3" t="s">
        <v>12</v>
      </c>
      <c r="C1133" s="3" t="s">
        <v>6</v>
      </c>
      <c r="D1133" s="3" t="str">
        <f>IFERROR(__xludf.DUMMYFUNCTION("GOOGLETRANSLATE(A1133, ""en"", ""zh-CN"")"),"知道")</f>
        <v>知道</v>
      </c>
    </row>
    <row r="1134" ht="15.75" customHeight="1">
      <c r="A1134" s="3" t="s">
        <v>1154</v>
      </c>
      <c r="B1134" s="3" t="s">
        <v>8</v>
      </c>
      <c r="C1134" s="3" t="s">
        <v>16</v>
      </c>
      <c r="D1134" s="3" t="str">
        <f>IFERROR(__xludf.DUMMYFUNCTION("GOOGLETRANSLATE(A1134, ""en"", ""zh-CN"")"),"国王")</f>
        <v>国王</v>
      </c>
    </row>
    <row r="1135" ht="15.75" customHeight="1">
      <c r="A1135" s="3" t="s">
        <v>1155</v>
      </c>
      <c r="B1135" s="3" t="s">
        <v>8</v>
      </c>
      <c r="C1135" s="3" t="s">
        <v>16</v>
      </c>
      <c r="D1135" s="3" t="str">
        <f>IFERROR(__xludf.DUMMYFUNCTION("GOOGLETRANSLATE(A1135, ""en"", ""zh-CN"")"),"知识")</f>
        <v>知识</v>
      </c>
    </row>
    <row r="1136" ht="15.75" customHeight="1">
      <c r="A1136" s="3" t="s">
        <v>1156</v>
      </c>
      <c r="B1136" s="3" t="s">
        <v>8</v>
      </c>
      <c r="C1136" s="3" t="s">
        <v>16</v>
      </c>
      <c r="D1136" s="3" t="str">
        <f>IFERROR(__xludf.DUMMYFUNCTION("GOOGLETRANSLATE(A1136, ""en"", ""zh-CN"")"),"孩子")</f>
        <v>孩子</v>
      </c>
    </row>
    <row r="1137" ht="15.75" customHeight="1">
      <c r="A1137" s="3" t="s">
        <v>1157</v>
      </c>
      <c r="B1137" s="3" t="s">
        <v>12</v>
      </c>
      <c r="C1137" s="3" t="s">
        <v>16</v>
      </c>
      <c r="D1137" s="3" t="str">
        <f>IFERROR(__xludf.DUMMYFUNCTION("GOOGLETRANSLATE(A1137, ""en"", ""zh-CN"")"),"杀")</f>
        <v>杀</v>
      </c>
    </row>
    <row r="1138" ht="15.75" customHeight="1">
      <c r="A1138" s="3" t="s">
        <v>1158</v>
      </c>
      <c r="B1138" s="3" t="s">
        <v>8</v>
      </c>
      <c r="C1138" s="3" t="s">
        <v>6</v>
      </c>
      <c r="D1138" s="3" t="str">
        <f>IFERROR(__xludf.DUMMYFUNCTION("GOOGLETRANSLATE(A1138, ""en"", ""zh-CN"")"),"厨房")</f>
        <v>厨房</v>
      </c>
    </row>
    <row r="1139" ht="15.75" customHeight="1">
      <c r="A1139" s="3" t="s">
        <v>1159</v>
      </c>
      <c r="B1139" s="3" t="s">
        <v>8</v>
      </c>
      <c r="C1139" s="3" t="s">
        <v>16</v>
      </c>
      <c r="D1139" s="3" t="str">
        <f>IFERROR(__xludf.DUMMYFUNCTION("GOOGLETRANSLATE(A1139, ""en"", ""zh-CN"")"),"实验室")</f>
        <v>实验室</v>
      </c>
    </row>
    <row r="1140" ht="15.75" customHeight="1">
      <c r="A1140" s="3" t="s">
        <v>1160</v>
      </c>
      <c r="B1140" s="3" t="s">
        <v>8</v>
      </c>
      <c r="C1140" s="3" t="s">
        <v>9</v>
      </c>
      <c r="D1140" s="3" t="str">
        <f>IFERROR(__xludf.DUMMYFUNCTION("GOOGLETRANSLATE(A1140, ""en"", ""zh-CN"")"),"皮革")</f>
        <v>皮革</v>
      </c>
    </row>
    <row r="1141" ht="15.75" customHeight="1">
      <c r="A1141" s="3" t="s">
        <v>1161</v>
      </c>
      <c r="B1141" s="3" t="s">
        <v>8</v>
      </c>
      <c r="C1141" s="3" t="s">
        <v>9</v>
      </c>
      <c r="D1141" s="3" t="str">
        <f>IFERROR(__xludf.DUMMYFUNCTION("GOOGLETRANSLATE(A1141, ""en"", ""zh-CN"")"),"文学")</f>
        <v>文学</v>
      </c>
    </row>
    <row r="1142" ht="15.75" customHeight="1">
      <c r="A1142" s="3" t="s">
        <v>1162</v>
      </c>
      <c r="B1142" s="3" t="s">
        <v>8</v>
      </c>
      <c r="C1142" s="3" t="s">
        <v>9</v>
      </c>
      <c r="D1142" s="3" t="str">
        <f>IFERROR(__xludf.DUMMYFUNCTION("GOOGLETRANSLATE(A1142, ""en"", ""zh-CN"")"),"实验室")</f>
        <v>实验室</v>
      </c>
    </row>
    <row r="1143" ht="15.75" customHeight="1">
      <c r="A1143" s="3" t="s">
        <v>1163</v>
      </c>
      <c r="B1143" s="3" t="s">
        <v>12</v>
      </c>
      <c r="C1143" s="3" t="s">
        <v>6</v>
      </c>
      <c r="D1143" s="3" t="str">
        <f>IFERROR(__xludf.DUMMYFUNCTION("GOOGLETRANSLATE(A1143, ""en"", ""zh-CN"")"),"live1")</f>
        <v>live1</v>
      </c>
    </row>
    <row r="1144" ht="15.75" customHeight="1">
      <c r="A1144" s="3" t="s">
        <v>1164</v>
      </c>
      <c r="B1144" s="3" t="s">
        <v>8</v>
      </c>
      <c r="C1144" s="3" t="s">
        <v>13</v>
      </c>
      <c r="D1144" s="3" t="str">
        <f>IFERROR(__xludf.DUMMYFUNCTION("GOOGLETRANSLATE(A1144, ""en"", ""zh-CN"")"),"劳动")</f>
        <v>劳动</v>
      </c>
    </row>
    <row r="1145" ht="15.75" customHeight="1">
      <c r="A1145" s="3" t="s">
        <v>1165</v>
      </c>
      <c r="B1145" s="3" t="s">
        <v>8</v>
      </c>
      <c r="C1145" s="3" t="s">
        <v>6</v>
      </c>
      <c r="D1145" s="3" t="str">
        <f>IFERROR(__xludf.DUMMYFUNCTION("GOOGLETRANSLATE(A1145, ""en"", ""zh-CN"")"),"腿")</f>
        <v>腿</v>
      </c>
    </row>
    <row r="1146" ht="15.75" customHeight="1">
      <c r="A1146" s="3" t="s">
        <v>1166</v>
      </c>
      <c r="B1146" s="3" t="s">
        <v>22</v>
      </c>
      <c r="C1146" s="3" t="s">
        <v>13</v>
      </c>
      <c r="D1146" s="3" t="str">
        <f>IFERROR(__xludf.DUMMYFUNCTION("GOOGLETRANSLATE(A1146, ""en"", ""zh-CN"")"),"活泼")</f>
        <v>活泼</v>
      </c>
    </row>
    <row r="1147" ht="15.75" customHeight="1">
      <c r="A1147" s="3" t="s">
        <v>1167</v>
      </c>
      <c r="B1147" s="3" t="s">
        <v>8</v>
      </c>
      <c r="C1147" s="3" t="s">
        <v>16</v>
      </c>
      <c r="D1147" s="3" t="str">
        <f>IFERROR(__xludf.DUMMYFUNCTION("GOOGLETRANSLATE(A1147, ""en"", ""zh-CN"")"),"女士")</f>
        <v>女士</v>
      </c>
    </row>
    <row r="1148" ht="15.75" customHeight="1">
      <c r="A1148" s="3" t="s">
        <v>1168</v>
      </c>
      <c r="B1148" s="3" t="s">
        <v>22</v>
      </c>
      <c r="C1148" s="3" t="s">
        <v>9</v>
      </c>
      <c r="D1148" s="3" t="str">
        <f>IFERROR(__xludf.DUMMYFUNCTION("GOOGLETRANSLATE(A1148, ""en"", ""zh-CN"")"),"合法的")</f>
        <v>合法的</v>
      </c>
    </row>
    <row r="1149" ht="15.75" customHeight="1">
      <c r="A1149" s="3" t="s">
        <v>1169</v>
      </c>
      <c r="B1149" s="3" t="s">
        <v>8</v>
      </c>
      <c r="C1149" s="3" t="s">
        <v>16</v>
      </c>
      <c r="D1149" s="3" t="str">
        <f>IFERROR(__xludf.DUMMYFUNCTION("GOOGLETRANSLATE(A1149, ""en"", ""zh-CN"")"),"湖")</f>
        <v>湖</v>
      </c>
    </row>
    <row r="1150" ht="15.75" customHeight="1">
      <c r="A1150" s="3" t="s">
        <v>1170</v>
      </c>
      <c r="B1150" s="3" t="s">
        <v>8</v>
      </c>
      <c r="C1150" s="3" t="s">
        <v>9</v>
      </c>
      <c r="D1150" s="3" t="str">
        <f>IFERROR(__xludf.DUMMYFUNCTION("GOOGLETRANSLATE(A1150, ""en"", ""zh-CN"")"),"闲暇")</f>
        <v>闲暇</v>
      </c>
    </row>
    <row r="1151" ht="15.75" customHeight="1">
      <c r="A1151" s="3" t="s">
        <v>1171</v>
      </c>
      <c r="B1151" s="3" t="s">
        <v>8</v>
      </c>
      <c r="C1151" s="3" t="s">
        <v>16</v>
      </c>
      <c r="D1151" s="3" t="str">
        <f>IFERROR(__xludf.DUMMYFUNCTION("GOOGLETRANSLATE(A1151, ""en"", ""zh-CN"")"),"灯")</f>
        <v>灯</v>
      </c>
    </row>
    <row r="1152" ht="15.75" customHeight="1">
      <c r="A1152" s="3" t="s">
        <v>1172</v>
      </c>
      <c r="B1152" s="3" t="s">
        <v>8</v>
      </c>
      <c r="C1152" s="3" t="s">
        <v>16</v>
      </c>
      <c r="D1152" s="3" t="str">
        <f>IFERROR(__xludf.DUMMYFUNCTION("GOOGLETRANSLATE(A1152, ""en"", ""zh-CN"")"),"柠檬")</f>
        <v>柠檬</v>
      </c>
    </row>
    <row r="1153" ht="15.75" customHeight="1">
      <c r="A1153" s="3" t="s">
        <v>1173</v>
      </c>
      <c r="B1153" s="3" t="s">
        <v>8</v>
      </c>
      <c r="C1153" s="3" t="s">
        <v>13</v>
      </c>
      <c r="D1153" s="3" t="str">
        <f>IFERROR(__xludf.DUMMYFUNCTION("GOOGLETRANSLATE(A1153, ""en"", ""zh-CN"")"),"贷款")</f>
        <v>贷款</v>
      </c>
    </row>
    <row r="1154" ht="15.75" customHeight="1">
      <c r="A1154" s="3" t="s">
        <v>1174</v>
      </c>
      <c r="B1154" s="3" t="s">
        <v>12</v>
      </c>
      <c r="C1154" s="3" t="s">
        <v>16</v>
      </c>
      <c r="D1154" s="3" t="str">
        <f>IFERROR(__xludf.DUMMYFUNCTION("GOOGLETRANSLATE(A1154, ""en"", ""zh-CN"")"),"借")</f>
        <v>借</v>
      </c>
    </row>
    <row r="1155" ht="15.75" customHeight="1">
      <c r="A1155" s="3" t="s">
        <v>1175</v>
      </c>
      <c r="B1155" s="3" t="s">
        <v>8</v>
      </c>
      <c r="C1155" s="3" t="s">
        <v>13</v>
      </c>
      <c r="D1155" s="3" t="str">
        <f>IFERROR(__xludf.DUMMYFUNCTION("GOOGLETRANSLATE(A1155, ""en"", ""zh-CN"")"),"景观")</f>
        <v>景观</v>
      </c>
    </row>
    <row r="1156" ht="15.75" customHeight="1">
      <c r="A1156" s="3" t="s">
        <v>1176</v>
      </c>
      <c r="B1156" s="3" t="s">
        <v>8</v>
      </c>
      <c r="C1156" s="3" t="s">
        <v>9</v>
      </c>
      <c r="D1156" s="3" t="str">
        <f>IFERROR(__xludf.DUMMYFUNCTION("GOOGLETRANSLATE(A1156, ""en"", ""zh-CN"")"),"长度")</f>
        <v>长度</v>
      </c>
    </row>
    <row r="1157" ht="15.75" customHeight="1">
      <c r="A1157" s="3" t="s">
        <v>1177</v>
      </c>
      <c r="B1157" s="3" t="s">
        <v>12</v>
      </c>
      <c r="C1157" s="3" t="s">
        <v>9</v>
      </c>
      <c r="D1157" s="3" t="str">
        <f>IFERROR(__xludf.DUMMYFUNCTION("GOOGLETRANSLATE(A1157, ""en"", ""zh-CN"")"),"定位")</f>
        <v>定位</v>
      </c>
    </row>
    <row r="1158" ht="15.75" customHeight="1">
      <c r="A1158" s="3" t="s">
        <v>1178</v>
      </c>
      <c r="B1158" s="3" t="s">
        <v>8</v>
      </c>
      <c r="C1158" s="3" t="s">
        <v>6</v>
      </c>
      <c r="D1158" s="3" t="str">
        <f>IFERROR(__xludf.DUMMYFUNCTION("GOOGLETRANSLATE(A1158, ""en"", ""zh-CN"")"),"语言")</f>
        <v>语言</v>
      </c>
    </row>
    <row r="1159" ht="15.75" customHeight="1">
      <c r="A1159" s="3" t="s">
        <v>1179</v>
      </c>
      <c r="B1159" s="3" t="s">
        <v>22</v>
      </c>
      <c r="C1159" s="3" t="s">
        <v>9</v>
      </c>
      <c r="D1159" s="3" t="str">
        <f>IFERROR(__xludf.DUMMYFUNCTION("GOOGLETRANSLATE(A1159, ""en"", ""zh-CN"")"),"位于")</f>
        <v>位于</v>
      </c>
    </row>
    <row r="1160" ht="15.75" customHeight="1">
      <c r="A1160" s="3" t="s">
        <v>1180</v>
      </c>
      <c r="B1160" s="3" t="s">
        <v>8</v>
      </c>
      <c r="C1160" s="3" t="s">
        <v>16</v>
      </c>
      <c r="D1160" s="3" t="str">
        <f>IFERROR(__xludf.DUMMYFUNCTION("GOOGLETRANSLATE(A1160, ""en"", ""zh-CN"")"),"笔记本电脑")</f>
        <v>笔记本电脑</v>
      </c>
    </row>
    <row r="1161" ht="15.75" customHeight="1">
      <c r="A1161" s="3" t="s">
        <v>1181</v>
      </c>
      <c r="B1161" s="3" t="s">
        <v>8</v>
      </c>
      <c r="C1161" s="3" t="s">
        <v>6</v>
      </c>
      <c r="D1161" s="3" t="str">
        <f>IFERROR(__xludf.DUMMYFUNCTION("GOOGLETRANSLATE(A1161, ""en"", ""zh-CN"")"),"课")</f>
        <v>课</v>
      </c>
    </row>
    <row r="1162" ht="15.75" customHeight="1">
      <c r="A1162" s="3" t="s">
        <v>1182</v>
      </c>
      <c r="B1162" s="3" t="s">
        <v>8</v>
      </c>
      <c r="C1162" s="3" t="s">
        <v>9</v>
      </c>
      <c r="D1162" s="3" t="str">
        <f>IFERROR(__xludf.DUMMYFUNCTION("GOOGLETRANSLATE(A1162, ""en"", ""zh-CN"")"),"地点")</f>
        <v>地点</v>
      </c>
    </row>
    <row r="1163" ht="15.75" customHeight="1">
      <c r="A1163" s="3" t="s">
        <v>1183</v>
      </c>
      <c r="B1163" s="3" t="s">
        <v>22</v>
      </c>
      <c r="C1163" s="3" t="s">
        <v>6</v>
      </c>
      <c r="D1163" s="3" t="str">
        <f>IFERROR(__xludf.DUMMYFUNCTION("GOOGLETRANSLATE(A1163, ""en"", ""zh-CN"")"),"大的")</f>
        <v>大的</v>
      </c>
    </row>
    <row r="1164" ht="15.75" customHeight="1">
      <c r="A1164" s="3" t="s">
        <v>1184</v>
      </c>
      <c r="B1164" s="3" t="s">
        <v>12</v>
      </c>
      <c r="C1164" s="3" t="s">
        <v>6</v>
      </c>
      <c r="D1164" s="3" t="str">
        <f>IFERROR(__xludf.DUMMYFUNCTION("GOOGLETRANSLATE(A1164, ""en"", ""zh-CN"")"),"让")</f>
        <v>让</v>
      </c>
    </row>
    <row r="1165" ht="15.75" customHeight="1">
      <c r="A1165" s="3" t="s">
        <v>1185</v>
      </c>
      <c r="B1165" s="3" t="s">
        <v>20</v>
      </c>
      <c r="C1165" s="3" t="s">
        <v>13</v>
      </c>
      <c r="D1165" s="3" t="str">
        <f>IFERROR(__xludf.DUMMYFUNCTION("GOOGLETRANSLATE(A1165, ""en"", ""zh-CN"")"),"大部分")</f>
        <v>大部分</v>
      </c>
    </row>
    <row r="1166" ht="15.75" customHeight="1">
      <c r="A1166" s="3" t="s">
        <v>1186</v>
      </c>
      <c r="B1166" s="3" t="s">
        <v>8</v>
      </c>
      <c r="C1166" s="3" t="s">
        <v>6</v>
      </c>
      <c r="D1166" s="3" t="str">
        <f>IFERROR(__xludf.DUMMYFUNCTION("GOOGLETRANSLATE(A1166, ""en"", ""zh-CN"")"),"信")</f>
        <v>信</v>
      </c>
    </row>
    <row r="1167" ht="15.75" customHeight="1">
      <c r="A1167" s="3" t="s">
        <v>1187</v>
      </c>
      <c r="B1167" s="3" t="s">
        <v>22</v>
      </c>
      <c r="C1167" s="3" t="s">
        <v>13</v>
      </c>
      <c r="D1167" s="3" t="str">
        <f>IFERROR(__xludf.DUMMYFUNCTION("GOOGLETRANSLATE(A1167, ""en"", ""zh-CN"")"),"逻辑")</f>
        <v>逻辑</v>
      </c>
    </row>
    <row r="1168" ht="15.75" customHeight="1">
      <c r="A1168" s="3" t="s">
        <v>1188</v>
      </c>
      <c r="B1168" s="3" t="s">
        <v>22</v>
      </c>
      <c r="C1168" s="3" t="s">
        <v>9</v>
      </c>
      <c r="D1168" s="3" t="str">
        <f>IFERROR(__xludf.DUMMYFUNCTION("GOOGLETRANSLATE(A1168, ""en"", ""zh-CN"")"),"孤独")</f>
        <v>孤独</v>
      </c>
    </row>
    <row r="1169" ht="15.75" customHeight="1">
      <c r="A1169" s="3" t="s">
        <v>1189</v>
      </c>
      <c r="B1169" s="3" t="s">
        <v>8</v>
      </c>
      <c r="C1169" s="3" t="s">
        <v>6</v>
      </c>
      <c r="D1169" s="3" t="str">
        <f>IFERROR(__xludf.DUMMYFUNCTION("GOOGLETRANSLATE(A1169, ""en"", ""zh-CN"")"),"图书馆")</f>
        <v>图书馆</v>
      </c>
    </row>
    <row r="1170" ht="15.75" customHeight="1">
      <c r="A1170" s="3" t="s">
        <v>1190</v>
      </c>
      <c r="B1170" s="3" t="s">
        <v>8</v>
      </c>
      <c r="C1170" s="3" t="s">
        <v>13</v>
      </c>
      <c r="D1170" s="3" t="str">
        <f>IFERROR(__xludf.DUMMYFUNCTION("GOOGLETRANSLATE(A1170, ""en"", ""zh-CN"")"),"执照")</f>
        <v>执照</v>
      </c>
    </row>
    <row r="1171" ht="15.75" customHeight="1">
      <c r="A1171" s="3" t="s">
        <v>1191</v>
      </c>
      <c r="B1171" s="3" t="s">
        <v>12</v>
      </c>
      <c r="C1171" s="3" t="s">
        <v>6</v>
      </c>
      <c r="D1171" s="3" t="str">
        <f>IFERROR(__xludf.DUMMYFUNCTION("GOOGLETRANSLATE(A1171, ""en"", ""zh-CN"")"),"谎言1")</f>
        <v>谎言1</v>
      </c>
    </row>
    <row r="1172" ht="15.75" customHeight="1">
      <c r="A1172" s="3" t="s">
        <v>1192</v>
      </c>
      <c r="B1172" s="3" t="s">
        <v>22</v>
      </c>
      <c r="C1172" s="3" t="s">
        <v>13</v>
      </c>
      <c r="D1172" s="3" t="str">
        <f>IFERROR(__xludf.DUMMYFUNCTION("GOOGLETRANSLATE(A1172, ""en"", ""zh-CN"")"),"松动的")</f>
        <v>松动的</v>
      </c>
    </row>
    <row r="1173" ht="15.75" customHeight="1">
      <c r="A1173" s="3" t="s">
        <v>1193</v>
      </c>
      <c r="B1173" s="3" t="s">
        <v>8</v>
      </c>
      <c r="C1173" s="3" t="s">
        <v>6</v>
      </c>
      <c r="D1173" s="3" t="str">
        <f>IFERROR(__xludf.DUMMYFUNCTION("GOOGLETRANSLATE(A1173, ""en"", ""zh-CN"")"),"生活")</f>
        <v>生活</v>
      </c>
    </row>
    <row r="1174" ht="15.75" customHeight="1">
      <c r="A1174" s="3" t="s">
        <v>1194</v>
      </c>
      <c r="B1174" s="3" t="s">
        <v>8</v>
      </c>
      <c r="C1174" s="3" t="s">
        <v>13</v>
      </c>
      <c r="D1174" s="3" t="str">
        <f>IFERROR(__xludf.DUMMYFUNCTION("GOOGLETRANSLATE(A1174, ""en"", ""zh-CN"")"),"主")</f>
        <v>主</v>
      </c>
    </row>
    <row r="1175" ht="15.75" customHeight="1">
      <c r="A1175" s="3" t="s">
        <v>1195</v>
      </c>
      <c r="B1175" s="3" t="s">
        <v>8</v>
      </c>
      <c r="C1175" s="3" t="s">
        <v>16</v>
      </c>
      <c r="D1175" s="3" t="str">
        <f>IFERROR(__xludf.DUMMYFUNCTION("GOOGLETRANSLATE(A1175, ""en"", ""zh-CN"")"),"笑声")</f>
        <v>笑声</v>
      </c>
    </row>
    <row r="1176" ht="15.75" customHeight="1">
      <c r="A1176" s="3" t="s">
        <v>1196</v>
      </c>
      <c r="B1176" s="3" t="s">
        <v>8</v>
      </c>
      <c r="C1176" s="3" t="s">
        <v>16</v>
      </c>
      <c r="D1176" s="3" t="str">
        <f>IFERROR(__xludf.DUMMYFUNCTION("GOOGLETRANSLATE(A1176, ""en"", ""zh-CN"")"),"生活方式")</f>
        <v>生活方式</v>
      </c>
    </row>
    <row r="1177" ht="15.75" customHeight="1">
      <c r="A1177" s="3" t="s">
        <v>1197</v>
      </c>
      <c r="B1177" s="3" t="s">
        <v>8</v>
      </c>
      <c r="C1177" s="3" t="s">
        <v>16</v>
      </c>
      <c r="D1177" s="3" t="str">
        <f>IFERROR(__xludf.DUMMYFUNCTION("GOOGLETRANSLATE(A1177, ""en"", ""zh-CN"")"),"货车")</f>
        <v>货车</v>
      </c>
    </row>
    <row r="1178" ht="15.75" customHeight="1">
      <c r="A1178" s="3" t="s">
        <v>1198</v>
      </c>
      <c r="B1178" s="3" t="s">
        <v>12</v>
      </c>
      <c r="C1178" s="3" t="s">
        <v>6</v>
      </c>
      <c r="D1178" s="3" t="str">
        <f>IFERROR(__xludf.DUMMYFUNCTION("GOOGLETRANSLATE(A1178, ""en"", ""zh-CN"")"),"失去")</f>
        <v>失去</v>
      </c>
    </row>
    <row r="1179" ht="15.75" customHeight="1">
      <c r="A1179" s="3" t="s">
        <v>1199</v>
      </c>
      <c r="B1179" s="3" t="s">
        <v>8</v>
      </c>
      <c r="C1179" s="3" t="s">
        <v>16</v>
      </c>
      <c r="D1179" s="3" t="str">
        <f>IFERROR(__xludf.DUMMYFUNCTION("GOOGLETRANSLATE(A1179, ""en"", ""zh-CN"")"),"法律")</f>
        <v>法律</v>
      </c>
    </row>
    <row r="1180" ht="15.75" customHeight="1">
      <c r="A1180" s="3" t="s">
        <v>1200</v>
      </c>
      <c r="B1180" s="3" t="s">
        <v>8</v>
      </c>
      <c r="C1180" s="3" t="s">
        <v>9</v>
      </c>
      <c r="D1180" s="3" t="str">
        <f>IFERROR(__xludf.DUMMYFUNCTION("GOOGLETRANSLATE(A1180, ""en"", ""zh-CN"")"),"损失")</f>
        <v>损失</v>
      </c>
    </row>
    <row r="1181" ht="15.75" customHeight="1">
      <c r="A1181" s="3" t="s">
        <v>1201</v>
      </c>
      <c r="B1181" s="3" t="s">
        <v>8</v>
      </c>
      <c r="C1181" s="3" t="s">
        <v>16</v>
      </c>
      <c r="D1181" s="3" t="str">
        <f>IFERROR(__xludf.DUMMYFUNCTION("GOOGLETRANSLATE(A1181, ""en"", ""zh-CN"")"),"律师")</f>
        <v>律师</v>
      </c>
    </row>
    <row r="1182" ht="15.75" customHeight="1">
      <c r="A1182" s="3" t="s">
        <v>1202</v>
      </c>
      <c r="B1182" s="3" t="s">
        <v>22</v>
      </c>
      <c r="C1182" s="3" t="s">
        <v>16</v>
      </c>
      <c r="D1182" s="3" t="str">
        <f>IFERROR(__xludf.DUMMYFUNCTION("GOOGLETRANSLATE(A1182, ""en"", ""zh-CN"")"),"丢失的")</f>
        <v>丢失的</v>
      </c>
    </row>
    <row r="1183" ht="15.75" customHeight="1">
      <c r="A1183" s="3" t="s">
        <v>1203</v>
      </c>
      <c r="B1183" s="3" t="s">
        <v>12</v>
      </c>
      <c r="C1183" s="3" t="s">
        <v>9</v>
      </c>
      <c r="D1183" s="3" t="str">
        <f>IFERROR(__xludf.DUMMYFUNCTION("GOOGLETRANSLATE(A1183, ""en"", ""zh-CN"")"),"放置")</f>
        <v>放置</v>
      </c>
    </row>
    <row r="1184" ht="15.75" customHeight="1">
      <c r="A1184" s="3" t="s">
        <v>1204</v>
      </c>
      <c r="B1184" s="3" t="s">
        <v>8</v>
      </c>
      <c r="C1184" s="3" t="s">
        <v>9</v>
      </c>
      <c r="D1184" s="3" t="str">
        <f>IFERROR(__xludf.DUMMYFUNCTION("GOOGLETRANSLATE(A1184, ""en"", ""zh-CN"")"),"层")</f>
        <v>层</v>
      </c>
    </row>
    <row r="1185" ht="15.75" customHeight="1">
      <c r="A1185" s="3" t="s">
        <v>1205</v>
      </c>
      <c r="B1185" s="3" t="s">
        <v>22</v>
      </c>
      <c r="C1185" s="3" t="s">
        <v>16</v>
      </c>
      <c r="D1185" s="3" t="str">
        <f>IFERROR(__xludf.DUMMYFUNCTION("GOOGLETRANSLATE(A1185, ""en"", ""zh-CN"")"),"懒惰的")</f>
        <v>懒惰的</v>
      </c>
    </row>
    <row r="1186" ht="15.75" customHeight="1">
      <c r="A1186" s="3" t="s">
        <v>1206</v>
      </c>
      <c r="B1186" s="3" t="s">
        <v>22</v>
      </c>
      <c r="C1186" s="3" t="s">
        <v>16</v>
      </c>
      <c r="D1186" s="3" t="str">
        <f>IFERROR(__xludf.DUMMYFUNCTION("GOOGLETRANSLATE(A1186, ""en"", ""zh-CN"")"),"可能")</f>
        <v>可能</v>
      </c>
    </row>
    <row r="1187" ht="15.75" customHeight="1">
      <c r="A1187" s="3" t="s">
        <v>1207</v>
      </c>
      <c r="B1187" s="3" t="s">
        <v>20</v>
      </c>
      <c r="C1187" s="3" t="s">
        <v>16</v>
      </c>
      <c r="D1187" s="3" t="str">
        <f>IFERROR(__xludf.DUMMYFUNCTION("GOOGLETRANSLATE(A1187, ""en"", ""zh-CN"")"),"高声")</f>
        <v>高声</v>
      </c>
    </row>
    <row r="1188" ht="15.75" customHeight="1">
      <c r="A1188" s="3" t="s">
        <v>1208</v>
      </c>
      <c r="B1188" s="3" t="s">
        <v>8</v>
      </c>
      <c r="C1188" s="3" t="s">
        <v>16</v>
      </c>
      <c r="D1188" s="3" t="str">
        <f>IFERROR(__xludf.DUMMYFUNCTION("GOOGLETRANSLATE(A1188, ""en"", ""zh-CN"")"),"领导者")</f>
        <v>领导者</v>
      </c>
    </row>
    <row r="1189" ht="15.75" customHeight="1">
      <c r="A1189" s="3" t="s">
        <v>1209</v>
      </c>
      <c r="B1189" s="3" t="s">
        <v>22</v>
      </c>
      <c r="C1189" s="3" t="s">
        <v>13</v>
      </c>
      <c r="D1189" s="3" t="str">
        <f>IFERROR(__xludf.DUMMYFUNCTION("GOOGLETRANSLATE(A1189, ""en"", ""zh-CN"")"),"有限的")</f>
        <v>有限的</v>
      </c>
    </row>
    <row r="1190" ht="15.75" customHeight="1">
      <c r="A1190" s="3" t="s">
        <v>1210</v>
      </c>
      <c r="B1190" s="3" t="s">
        <v>22</v>
      </c>
      <c r="C1190" s="3" t="s">
        <v>16</v>
      </c>
      <c r="D1190" s="3" t="str">
        <f>IFERROR(__xludf.DUMMYFUNCTION("GOOGLETRANSLATE(A1190, ""en"", ""zh-CN"")"),"迷人的")</f>
        <v>迷人的</v>
      </c>
    </row>
    <row r="1191" ht="15.75" customHeight="1">
      <c r="A1191" s="3" t="s">
        <v>1211</v>
      </c>
      <c r="B1191" s="3" t="s">
        <v>8</v>
      </c>
      <c r="C1191" s="3" t="s">
        <v>13</v>
      </c>
      <c r="D1191" s="3" t="str">
        <f>IFERROR(__xludf.DUMMYFUNCTION("GOOGLETRANSLATE(A1191, ""en"", ""zh-CN"")"),"领导")</f>
        <v>领导</v>
      </c>
    </row>
    <row r="1192" ht="15.75" customHeight="1">
      <c r="A1192" s="3" t="s">
        <v>1212</v>
      </c>
      <c r="B1192" s="3" t="s">
        <v>22</v>
      </c>
      <c r="C1192" s="3" t="s">
        <v>9</v>
      </c>
      <c r="D1192" s="3" t="str">
        <f>IFERROR(__xludf.DUMMYFUNCTION("GOOGLETRANSLATE(A1192, ""en"", ""zh-CN"")"),"领导")</f>
        <v>领导</v>
      </c>
    </row>
    <row r="1193" ht="15.75" customHeight="1">
      <c r="A1193" s="3" t="s">
        <v>1213</v>
      </c>
      <c r="B1193" s="3" t="s">
        <v>12</v>
      </c>
      <c r="C1193" s="3" t="s">
        <v>13</v>
      </c>
      <c r="D1193" s="3" t="str">
        <f>IFERROR(__xludf.DUMMYFUNCTION("GOOGLETRANSLATE(A1193, ""en"", ""zh-CN"")"),"降低")</f>
        <v>降低</v>
      </c>
    </row>
    <row r="1194" ht="15.75" customHeight="1">
      <c r="A1194" s="3" t="s">
        <v>1214</v>
      </c>
      <c r="B1194" s="3" t="s">
        <v>8</v>
      </c>
      <c r="C1194" s="3" t="s">
        <v>9</v>
      </c>
      <c r="D1194" s="3" t="str">
        <f>IFERROR(__xludf.DUMMYFUNCTION("GOOGLETRANSLATE(A1194, ""en"", ""zh-CN"")"),"叶子")</f>
        <v>叶子</v>
      </c>
    </row>
    <row r="1195" ht="15.75" customHeight="1">
      <c r="A1195" s="3" t="s">
        <v>1215</v>
      </c>
      <c r="B1195" s="3" t="s">
        <v>8</v>
      </c>
      <c r="C1195" s="3" t="s">
        <v>6</v>
      </c>
      <c r="D1195" s="3" t="str">
        <f>IFERROR(__xludf.DUMMYFUNCTION("GOOGLETRANSLATE(A1195, ""en"", ""zh-CN"")"),"狮子")</f>
        <v>狮子</v>
      </c>
    </row>
    <row r="1196" ht="15.75" customHeight="1">
      <c r="A1196" s="3" t="s">
        <v>1216</v>
      </c>
      <c r="B1196" s="3" t="s">
        <v>8</v>
      </c>
      <c r="C1196" s="3" t="s">
        <v>16</v>
      </c>
      <c r="D1196" s="3" t="str">
        <f>IFERROR(__xludf.DUMMYFUNCTION("GOOGLETRANSLATE(A1196, ""en"", ""zh-CN"")"),"运气")</f>
        <v>运气</v>
      </c>
    </row>
    <row r="1197" ht="15.75" customHeight="1">
      <c r="A1197" s="3" t="s">
        <v>1217</v>
      </c>
      <c r="B1197" s="3" t="s">
        <v>8</v>
      </c>
      <c r="C1197" s="3" t="s">
        <v>13</v>
      </c>
      <c r="D1197" s="3" t="str">
        <f>IFERROR(__xludf.DUMMYFUNCTION("GOOGLETRANSLATE(A1197, ""en"", ""zh-CN"")"),"联盟")</f>
        <v>联盟</v>
      </c>
    </row>
    <row r="1198" ht="15.75" customHeight="1">
      <c r="A1198" s="3" t="s">
        <v>1218</v>
      </c>
      <c r="B1198" s="3" t="s">
        <v>8</v>
      </c>
      <c r="C1198" s="3" t="s">
        <v>9</v>
      </c>
      <c r="D1198" s="3" t="str">
        <f>IFERROR(__xludf.DUMMYFUNCTION("GOOGLETRANSLATE(A1198, ""en"", ""zh-CN"")"),"唇")</f>
        <v>唇</v>
      </c>
    </row>
    <row r="1199" ht="15.75" customHeight="1">
      <c r="A1199" s="3" t="s">
        <v>1219</v>
      </c>
      <c r="B1199" s="3" t="s">
        <v>22</v>
      </c>
      <c r="C1199" s="3" t="s">
        <v>16</v>
      </c>
      <c r="D1199" s="3" t="str">
        <f>IFERROR(__xludf.DUMMYFUNCTION("GOOGLETRANSLATE(A1199, ""en"", ""zh-CN"")"),"幸运的")</f>
        <v>幸运的</v>
      </c>
    </row>
    <row r="1200" ht="15.75" customHeight="1">
      <c r="A1200" s="3" t="s">
        <v>1220</v>
      </c>
      <c r="B1200" s="3" t="s">
        <v>12</v>
      </c>
      <c r="C1200" s="3" t="s">
        <v>13</v>
      </c>
      <c r="D1200" s="3" t="str">
        <f>IFERROR(__xludf.DUMMYFUNCTION("GOOGLETRANSLATE(A1200, ""en"", ""zh-CN"")"),"倾斜")</f>
        <v>倾斜</v>
      </c>
    </row>
    <row r="1201" ht="15.75" customHeight="1">
      <c r="A1201" s="3" t="s">
        <v>1221</v>
      </c>
      <c r="B1201" s="3" t="s">
        <v>8</v>
      </c>
      <c r="C1201" s="3" t="s">
        <v>6</v>
      </c>
      <c r="D1201" s="3" t="str">
        <f>IFERROR(__xludf.DUMMYFUNCTION("GOOGLETRANSLATE(A1201, ""en"", ""zh-CN"")"),"午餐")</f>
        <v>午餐</v>
      </c>
    </row>
    <row r="1202" ht="15.75" customHeight="1">
      <c r="A1202" s="3" t="s">
        <v>1222</v>
      </c>
      <c r="B1202" s="3" t="s">
        <v>12</v>
      </c>
      <c r="C1202" s="3" t="s">
        <v>6</v>
      </c>
      <c r="D1202" s="3" t="str">
        <f>IFERROR(__xludf.DUMMYFUNCTION("GOOGLETRANSLATE(A1202, ""en"", ""zh-CN"")"),"学习")</f>
        <v>学习</v>
      </c>
    </row>
    <row r="1203" ht="15.75" customHeight="1">
      <c r="A1203" s="3" t="s">
        <v>1223</v>
      </c>
      <c r="B1203" s="3" t="s">
        <v>8</v>
      </c>
      <c r="C1203" s="3" t="s">
        <v>13</v>
      </c>
      <c r="D1203" s="3" t="str">
        <f>IFERROR(__xludf.DUMMYFUNCTION("GOOGLETRANSLATE(A1203, ""en"", ""zh-CN"")"),"肺")</f>
        <v>肺</v>
      </c>
    </row>
    <row r="1204" ht="15.75" customHeight="1">
      <c r="A1204" s="3" t="s">
        <v>1224</v>
      </c>
      <c r="B1204" s="3" t="s">
        <v>8</v>
      </c>
      <c r="C1204" s="3" t="s">
        <v>16</v>
      </c>
      <c r="D1204" s="3" t="str">
        <f>IFERROR(__xludf.DUMMYFUNCTION("GOOGLETRANSLATE(A1204, ""en"", ""zh-CN"")"),"学习")</f>
        <v>学习</v>
      </c>
    </row>
    <row r="1205" ht="15.75" customHeight="1">
      <c r="A1205" s="3" t="s">
        <v>1225</v>
      </c>
      <c r="B1205" s="3" t="s">
        <v>12</v>
      </c>
      <c r="C1205" s="3" t="s">
        <v>6</v>
      </c>
      <c r="D1205" s="3" t="str">
        <f>IFERROR(__xludf.DUMMYFUNCTION("GOOGLETRANSLATE(A1205, ""en"", ""zh-CN"")"),"听")</f>
        <v>听</v>
      </c>
    </row>
    <row r="1206" ht="15.75" customHeight="1">
      <c r="A1206" s="3" t="s">
        <v>1226</v>
      </c>
      <c r="B1206" s="3" t="s">
        <v>8</v>
      </c>
      <c r="C1206" s="3" t="s">
        <v>9</v>
      </c>
      <c r="D1206" s="3" t="str">
        <f>IFERROR(__xludf.DUMMYFUNCTION("GOOGLETRANSLATE(A1206, ""en"", ""zh-CN"")"),"奢华")</f>
        <v>奢华</v>
      </c>
    </row>
    <row r="1207" ht="15.75" customHeight="1">
      <c r="A1207" s="3" t="s">
        <v>1227</v>
      </c>
      <c r="B1207" s="3" t="s">
        <v>8</v>
      </c>
      <c r="C1207" s="3" t="s">
        <v>16</v>
      </c>
      <c r="D1207" s="3" t="str">
        <f>IFERROR(__xludf.DUMMYFUNCTION("GOOGLETRANSLATE(A1207, ""en"", ""zh-CN"")"),"听众")</f>
        <v>听众</v>
      </c>
    </row>
    <row r="1208" ht="15.75" customHeight="1">
      <c r="A1208" s="3" t="s">
        <v>1228</v>
      </c>
      <c r="B1208" s="3" t="s">
        <v>8</v>
      </c>
      <c r="C1208" s="3" t="s">
        <v>6</v>
      </c>
      <c r="D1208" s="3" t="str">
        <f>IFERROR(__xludf.DUMMYFUNCTION("GOOGLETRANSLATE(A1208, ""en"", ""zh-CN"")"),"机器")</f>
        <v>机器</v>
      </c>
    </row>
    <row r="1209" ht="15.75" customHeight="1">
      <c r="A1209" s="3" t="s">
        <v>1229</v>
      </c>
      <c r="B1209" s="3" t="s">
        <v>20</v>
      </c>
      <c r="C1209" s="3" t="s">
        <v>9</v>
      </c>
      <c r="D1209" s="3" t="str">
        <f>IFERROR(__xludf.DUMMYFUNCTION("GOOGLETRANSLATE(A1209, ""en"", ""zh-CN"")"),"同时")</f>
        <v>同时</v>
      </c>
    </row>
    <row r="1210" ht="15.75" customHeight="1">
      <c r="A1210" s="3" t="s">
        <v>1230</v>
      </c>
      <c r="B1210" s="3" t="s">
        <v>8</v>
      </c>
      <c r="C1210" s="3" t="s">
        <v>9</v>
      </c>
      <c r="D1210" s="3" t="str">
        <f>IFERROR(__xludf.DUMMYFUNCTION("GOOGLETRANSLATE(A1210, ""en"", ""zh-CN"")"),"混合物")</f>
        <v>混合物</v>
      </c>
    </row>
    <row r="1211" ht="15.75" customHeight="1">
      <c r="A1211" s="3" t="s">
        <v>1231</v>
      </c>
      <c r="B1211" s="3" t="s">
        <v>22</v>
      </c>
      <c r="C1211" s="3" t="s">
        <v>9</v>
      </c>
      <c r="D1211" s="3" t="str">
        <f>IFERROR(__xludf.DUMMYFUNCTION("GOOGLETRANSLATE(A1211, ""en"", ""zh-CN"")"),"疯狂的")</f>
        <v>疯狂的</v>
      </c>
    </row>
    <row r="1212" ht="15.75" customHeight="1">
      <c r="A1212" s="3" t="s">
        <v>1232</v>
      </c>
      <c r="B1212" s="3" t="s">
        <v>8</v>
      </c>
      <c r="C1212" s="3" t="s">
        <v>6</v>
      </c>
      <c r="D1212" s="3" t="str">
        <f>IFERROR(__xludf.DUMMYFUNCTION("GOOGLETRANSLATE(A1212, ""en"", ""zh-CN"")"),"杂志")</f>
        <v>杂志</v>
      </c>
    </row>
    <row r="1213" ht="15.75" customHeight="1">
      <c r="A1213" s="3" t="s">
        <v>1233</v>
      </c>
      <c r="B1213" s="3" t="s">
        <v>8</v>
      </c>
      <c r="C1213" s="3" t="s">
        <v>13</v>
      </c>
      <c r="D1213" s="3" t="str">
        <f>IFERROR(__xludf.DUMMYFUNCTION("GOOGLETRANSLATE(A1213, ""en"", ""zh-CN"")"),"测量")</f>
        <v>测量</v>
      </c>
    </row>
    <row r="1214" ht="15.75" customHeight="1">
      <c r="A1214" s="3" t="s">
        <v>1234</v>
      </c>
      <c r="B1214" s="3" t="s">
        <v>8</v>
      </c>
      <c r="C1214" s="3" t="s">
        <v>6</v>
      </c>
      <c r="D1214" s="3" t="str">
        <f>IFERROR(__xludf.DUMMYFUNCTION("GOOGLETRANSLATE(A1214, ""en"", ""zh-CN"")"),"肉")</f>
        <v>肉</v>
      </c>
    </row>
    <row r="1215" ht="15.75" customHeight="1">
      <c r="A1215" s="3" t="s">
        <v>1235</v>
      </c>
      <c r="B1215" s="3" t="s">
        <v>22</v>
      </c>
      <c r="C1215" s="3" t="s">
        <v>6</v>
      </c>
      <c r="D1215" s="3" t="str">
        <f>IFERROR(__xludf.DUMMYFUNCTION("GOOGLETRANSLATE(A1215, ""en"", ""zh-CN"")"),"现代的")</f>
        <v>现代的</v>
      </c>
    </row>
    <row r="1216" ht="15.75" customHeight="1">
      <c r="A1216" s="3" t="s">
        <v>1236</v>
      </c>
      <c r="B1216" s="3" t="s">
        <v>8</v>
      </c>
      <c r="C1216" s="3" t="s">
        <v>16</v>
      </c>
      <c r="D1216" s="3" t="str">
        <f>IFERROR(__xludf.DUMMYFUNCTION("GOOGLETRANSLATE(A1216, ""en"", ""zh-CN"")"),"媒体")</f>
        <v>媒体</v>
      </c>
    </row>
    <row r="1217" ht="15.75" customHeight="1">
      <c r="A1217" s="3" t="s">
        <v>1237</v>
      </c>
      <c r="B1217" s="3" t="s">
        <v>12</v>
      </c>
      <c r="C1217" s="3" t="s">
        <v>13</v>
      </c>
      <c r="D1217" s="3" t="str">
        <f>IFERROR(__xludf.DUMMYFUNCTION("GOOGLETRANSLATE(A1217, ""en"", ""zh-CN"")"),"调整")</f>
        <v>调整</v>
      </c>
    </row>
    <row r="1218" ht="15.75" customHeight="1">
      <c r="A1218" s="3" t="s">
        <v>1238</v>
      </c>
      <c r="B1218" s="3" t="s">
        <v>22</v>
      </c>
      <c r="C1218" s="3" t="s">
        <v>6</v>
      </c>
      <c r="D1218" s="3" t="str">
        <f>IFERROR(__xludf.DUMMYFUNCTION("GOOGLETRANSLATE(A1218, ""en"", ""zh-CN"")"),"主要的")</f>
        <v>主要的</v>
      </c>
    </row>
    <row r="1219" ht="15.75" customHeight="1">
      <c r="A1219" s="3" t="s">
        <v>1239</v>
      </c>
      <c r="B1219" s="3" t="s">
        <v>22</v>
      </c>
      <c r="C1219" s="3" t="s">
        <v>16</v>
      </c>
      <c r="D1219" s="3" t="str">
        <f>IFERROR(__xludf.DUMMYFUNCTION("GOOGLETRANSLATE(A1219, ""en"", ""zh-CN"")"),"医疗的")</f>
        <v>医疗的</v>
      </c>
    </row>
    <row r="1220" ht="15.75" customHeight="1">
      <c r="A1220" s="3" t="s">
        <v>1240</v>
      </c>
      <c r="B1220" s="3" t="s">
        <v>8</v>
      </c>
      <c r="C1220" s="3" t="s">
        <v>6</v>
      </c>
      <c r="D1220" s="3" t="str">
        <f>IFERROR(__xludf.DUMMYFUNCTION("GOOGLETRANSLATE(A1220, ""en"", ""zh-CN"")"),"片刻")</f>
        <v>片刻</v>
      </c>
    </row>
    <row r="1221" ht="15.75" customHeight="1">
      <c r="A1221" s="3" t="s">
        <v>1241</v>
      </c>
      <c r="B1221" s="3" t="s">
        <v>20</v>
      </c>
      <c r="C1221" s="3" t="s">
        <v>9</v>
      </c>
      <c r="D1221" s="3" t="str">
        <f>IFERROR(__xludf.DUMMYFUNCTION("GOOGLETRANSLATE(A1221, ""en"", ""zh-CN"")"),"主要是")</f>
        <v>主要是</v>
      </c>
    </row>
    <row r="1222" ht="15.75" customHeight="1">
      <c r="A1222" s="3" t="s">
        <v>1242</v>
      </c>
      <c r="B1222" s="3" t="s">
        <v>8</v>
      </c>
      <c r="C1222" s="3" t="s">
        <v>16</v>
      </c>
      <c r="D1222" s="3" t="str">
        <f>IFERROR(__xludf.DUMMYFUNCTION("GOOGLETRANSLATE(A1222, ""en"", ""zh-CN"")"),"药品")</f>
        <v>药品</v>
      </c>
    </row>
    <row r="1223" ht="15.75" customHeight="1">
      <c r="A1223" s="3" t="s">
        <v>1243</v>
      </c>
      <c r="B1223" s="3" t="s">
        <v>8</v>
      </c>
      <c r="C1223" s="3" t="s">
        <v>6</v>
      </c>
      <c r="D1223" s="3" t="str">
        <f>IFERROR(__xludf.DUMMYFUNCTION("GOOGLETRANSLATE(A1223, ""en"", ""zh-CN"")"),"周一")</f>
        <v>周一</v>
      </c>
    </row>
    <row r="1224" ht="15.75" customHeight="1">
      <c r="A1224" s="3" t="s">
        <v>1244</v>
      </c>
      <c r="B1224" s="3" t="s">
        <v>12</v>
      </c>
      <c r="C1224" s="3" t="s">
        <v>13</v>
      </c>
      <c r="D1224" s="3" t="str">
        <f>IFERROR(__xludf.DUMMYFUNCTION("GOOGLETRANSLATE(A1224, ""en"", ""zh-CN"")"),"维持")</f>
        <v>维持</v>
      </c>
    </row>
    <row r="1225" ht="15.75" customHeight="1">
      <c r="A1225" s="3" t="s">
        <v>1245</v>
      </c>
      <c r="B1225" s="3" t="s">
        <v>8</v>
      </c>
      <c r="C1225" s="3" t="s">
        <v>6</v>
      </c>
      <c r="D1225" s="3" t="str">
        <f>IFERROR(__xludf.DUMMYFUNCTION("GOOGLETRANSLATE(A1225, ""en"", ""zh-CN"")"),"钱")</f>
        <v>钱</v>
      </c>
    </row>
    <row r="1226" ht="15.75" customHeight="1">
      <c r="A1226" s="3" t="s">
        <v>1246</v>
      </c>
      <c r="B1226" s="3" t="s">
        <v>22</v>
      </c>
      <c r="C1226" s="3" t="s">
        <v>16</v>
      </c>
      <c r="D1226" s="3" t="str">
        <f>IFERROR(__xludf.DUMMYFUNCTION("GOOGLETRANSLATE(A1226, ""en"", ""zh-CN"")"),"主要的")</f>
        <v>主要的</v>
      </c>
    </row>
    <row r="1227" ht="15.75" customHeight="1">
      <c r="A1227" s="3" t="s">
        <v>1247</v>
      </c>
      <c r="B1227" s="3" t="s">
        <v>12</v>
      </c>
      <c r="C1227" s="3" t="s">
        <v>6</v>
      </c>
      <c r="D1227" s="3" t="str">
        <f>IFERROR(__xludf.DUMMYFUNCTION("GOOGLETRANSLATE(A1227, ""en"", ""zh-CN"")"),"见面")</f>
        <v>见面</v>
      </c>
    </row>
    <row r="1228" ht="15.75" customHeight="1">
      <c r="A1228" s="3" t="s">
        <v>1248</v>
      </c>
      <c r="B1228" s="3" t="s">
        <v>8</v>
      </c>
      <c r="C1228" s="3" t="s">
        <v>13</v>
      </c>
      <c r="D1228" s="3" t="str">
        <f>IFERROR(__xludf.DUMMYFUNCTION("GOOGLETRANSLATE(A1228, ""en"", ""zh-CN"")"),"多数")</f>
        <v>多数</v>
      </c>
    </row>
    <row r="1229" ht="15.75" customHeight="1">
      <c r="A1229" s="3" t="s">
        <v>1249</v>
      </c>
      <c r="B1229" s="3" t="s">
        <v>8</v>
      </c>
      <c r="C1229" s="3" t="s">
        <v>6</v>
      </c>
      <c r="D1229" s="3" t="str">
        <f>IFERROR(__xludf.DUMMYFUNCTION("GOOGLETRANSLATE(A1229, ""en"", ""zh-CN"")"),"会议")</f>
        <v>会议</v>
      </c>
    </row>
    <row r="1230" ht="15.75" customHeight="1">
      <c r="A1230" s="3" t="s">
        <v>1250</v>
      </c>
      <c r="B1230" s="3" t="s">
        <v>8</v>
      </c>
      <c r="C1230" s="3" t="s">
        <v>16</v>
      </c>
      <c r="D1230" s="3" t="str">
        <f>IFERROR(__xludf.DUMMYFUNCTION("GOOGLETRANSLATE(A1230, ""en"", ""zh-CN"")"),"猴")</f>
        <v>猴</v>
      </c>
    </row>
    <row r="1231" ht="15.75" customHeight="1">
      <c r="A1231" s="3" t="s">
        <v>1251</v>
      </c>
      <c r="B1231" s="3" t="s">
        <v>12</v>
      </c>
      <c r="C1231" s="3" t="s">
        <v>13</v>
      </c>
      <c r="D1231" s="3" t="str">
        <f>IFERROR(__xludf.DUMMYFUNCTION("GOOGLETRANSLATE(A1231, ""en"", ""zh-CN"")"),"熔化")</f>
        <v>熔化</v>
      </c>
    </row>
    <row r="1232" ht="15.75" customHeight="1">
      <c r="A1232" s="3" t="s">
        <v>1252</v>
      </c>
      <c r="B1232" s="3" t="s">
        <v>8</v>
      </c>
      <c r="C1232" s="3" t="s">
        <v>6</v>
      </c>
      <c r="D1232" s="3" t="str">
        <f>IFERROR(__xludf.DUMMYFUNCTION("GOOGLETRANSLATE(A1232, ""en"", ""zh-CN"")"),"月")</f>
        <v>月</v>
      </c>
    </row>
    <row r="1233" ht="15.75" customHeight="1">
      <c r="A1233" s="3" t="s">
        <v>1253</v>
      </c>
      <c r="B1233" s="3" t="s">
        <v>8</v>
      </c>
      <c r="C1233" s="3" t="s">
        <v>6</v>
      </c>
      <c r="D1233" s="3" t="str">
        <f>IFERROR(__xludf.DUMMYFUNCTION("GOOGLETRANSLATE(A1233, ""en"", ""zh-CN"")"),"成员")</f>
        <v>成员</v>
      </c>
    </row>
    <row r="1234" ht="15.75" customHeight="1">
      <c r="A1234" s="3" t="s">
        <v>1254</v>
      </c>
      <c r="B1234" s="3" t="s">
        <v>8</v>
      </c>
      <c r="C1234" s="3" t="s">
        <v>9</v>
      </c>
      <c r="D1234" s="3" t="str">
        <f>IFERROR(__xludf.DUMMYFUNCTION("GOOGLETRANSLATE(A1234, ""en"", ""zh-CN"")"),"情绪")</f>
        <v>情绪</v>
      </c>
    </row>
    <row r="1235" ht="15.75" customHeight="1">
      <c r="A1235" s="3" t="s">
        <v>1255</v>
      </c>
      <c r="B1235" s="3" t="s">
        <v>8</v>
      </c>
      <c r="C1235" s="3" t="s">
        <v>9</v>
      </c>
      <c r="D1235" s="3" t="str">
        <f>IFERROR(__xludf.DUMMYFUNCTION("GOOGLETRANSLATE(A1235, ""en"", ""zh-CN"")"),"购物中心")</f>
        <v>购物中心</v>
      </c>
    </row>
    <row r="1236" ht="15.75" customHeight="1">
      <c r="A1236" s="3" t="s">
        <v>1256</v>
      </c>
      <c r="B1236" s="3" t="s">
        <v>8</v>
      </c>
      <c r="C1236" s="3" t="s">
        <v>16</v>
      </c>
      <c r="D1236" s="3" t="str">
        <f>IFERROR(__xludf.DUMMYFUNCTION("GOOGLETRANSLATE(A1236, ""en"", ""zh-CN"")"),"记忆")</f>
        <v>记忆</v>
      </c>
    </row>
    <row r="1237" ht="15.75" customHeight="1">
      <c r="A1237" s="3" t="s">
        <v>1257</v>
      </c>
      <c r="B1237" s="3" t="s">
        <v>8</v>
      </c>
      <c r="C1237" s="3" t="s">
        <v>16</v>
      </c>
      <c r="D1237" s="3" t="str">
        <f>IFERROR(__xludf.DUMMYFUNCTION("GOOGLETRANSLATE(A1237, ""en"", ""zh-CN"")"),"月亮")</f>
        <v>月亮</v>
      </c>
    </row>
    <row r="1238" ht="15.75" customHeight="1">
      <c r="A1238" s="3" t="s">
        <v>1258</v>
      </c>
      <c r="B1238" s="3" t="s">
        <v>8</v>
      </c>
      <c r="C1238" s="3" t="s">
        <v>6</v>
      </c>
      <c r="D1238" s="3" t="str">
        <f>IFERROR(__xludf.DUMMYFUNCTION("GOOGLETRANSLATE(A1238, ""en"", ""zh-CN"")"),"男人")</f>
        <v>男人</v>
      </c>
    </row>
    <row r="1239" ht="15.75" customHeight="1">
      <c r="A1239" s="3" t="s">
        <v>1259</v>
      </c>
      <c r="B1239" s="3" t="s">
        <v>22</v>
      </c>
      <c r="C1239" s="3" t="s">
        <v>9</v>
      </c>
      <c r="D1239" s="3" t="str">
        <f>IFERROR(__xludf.DUMMYFUNCTION("GOOGLETRANSLATE(A1239, ""en"", ""zh-CN"")"),"精神的")</f>
        <v>精神的</v>
      </c>
    </row>
    <row r="1240" ht="15.75" customHeight="1">
      <c r="A1240" s="3" t="s">
        <v>1260</v>
      </c>
      <c r="B1240" s="3" t="s">
        <v>12</v>
      </c>
      <c r="C1240" s="3" t="s">
        <v>16</v>
      </c>
      <c r="D1240" s="3" t="str">
        <f>IFERROR(__xludf.DUMMYFUNCTION("GOOGLETRANSLATE(A1240, ""en"", ""zh-CN"")"),"管理")</f>
        <v>管理</v>
      </c>
    </row>
    <row r="1241" ht="15.75" customHeight="1">
      <c r="A1241" s="3" t="s">
        <v>1261</v>
      </c>
      <c r="B1241" s="3" t="s">
        <v>8</v>
      </c>
      <c r="C1241" s="3" t="s">
        <v>9</v>
      </c>
      <c r="D1241" s="3" t="str">
        <f>IFERROR(__xludf.DUMMYFUNCTION("GOOGLETRANSLATE(A1241, ""en"", ""zh-CN"")"),"管理")</f>
        <v>管理</v>
      </c>
    </row>
    <row r="1242" ht="15.75" customHeight="1">
      <c r="A1242" s="3" t="s">
        <v>1262</v>
      </c>
      <c r="B1242" s="3" t="s">
        <v>8</v>
      </c>
      <c r="C1242" s="3" t="s">
        <v>6</v>
      </c>
      <c r="D1242" s="3" t="str">
        <f>IFERROR(__xludf.DUMMYFUNCTION("GOOGLETRANSLATE(A1242, ""en"", ""zh-CN"")"),"菜单")</f>
        <v>菜单</v>
      </c>
    </row>
    <row r="1243" ht="15.75" customHeight="1">
      <c r="A1243" s="3" t="s">
        <v>1263</v>
      </c>
      <c r="B1243" s="3" t="s">
        <v>8</v>
      </c>
      <c r="C1243" s="3" t="s">
        <v>6</v>
      </c>
      <c r="D1243" s="3" t="str">
        <f>IFERROR(__xludf.DUMMYFUNCTION("GOOGLETRANSLATE(A1243, ""en"", ""zh-CN"")"),"早晨")</f>
        <v>早晨</v>
      </c>
    </row>
    <row r="1244" ht="15.75" customHeight="1">
      <c r="A1244" s="3" t="s">
        <v>1264</v>
      </c>
      <c r="B1244" s="3" t="s">
        <v>8</v>
      </c>
      <c r="C1244" s="3" t="s">
        <v>16</v>
      </c>
      <c r="D1244" s="3" t="str">
        <f>IFERROR(__xludf.DUMMYFUNCTION("GOOGLETRANSLATE(A1244, ""en"", ""zh-CN"")"),"经理")</f>
        <v>经理</v>
      </c>
    </row>
    <row r="1245" ht="15.75" customHeight="1">
      <c r="A1245" s="3" t="s">
        <v>1265</v>
      </c>
      <c r="B1245" s="3" t="s">
        <v>8</v>
      </c>
      <c r="C1245" s="3" t="s">
        <v>16</v>
      </c>
      <c r="D1245" s="3" t="str">
        <f>IFERROR(__xludf.DUMMYFUNCTION("GOOGLETRANSLATE(A1245, ""en"", ""zh-CN"")"),"方式")</f>
        <v>方式</v>
      </c>
    </row>
    <row r="1246" ht="15.75" customHeight="1">
      <c r="A1246" s="3" t="s">
        <v>1266</v>
      </c>
      <c r="B1246" s="3" t="s">
        <v>8</v>
      </c>
      <c r="C1246" s="3" t="s">
        <v>6</v>
      </c>
      <c r="D1246" s="3" t="str">
        <f>IFERROR(__xludf.DUMMYFUNCTION("GOOGLETRANSLATE(A1246, ""en"", ""zh-CN"")"),"信息")</f>
        <v>信息</v>
      </c>
    </row>
    <row r="1247" ht="15.75" customHeight="1">
      <c r="A1247" s="3" t="s">
        <v>1267</v>
      </c>
      <c r="B1247" s="3" t="s">
        <v>20</v>
      </c>
      <c r="C1247" s="3" t="s">
        <v>16</v>
      </c>
      <c r="D1247" s="3" t="str">
        <f>IFERROR(__xludf.DUMMYFUNCTION("GOOGLETRANSLATE(A1247, ""en"", ""zh-CN"")"),"大多")</f>
        <v>大多</v>
      </c>
    </row>
    <row r="1248" ht="15.75" customHeight="1">
      <c r="A1248" s="3" t="s">
        <v>1268</v>
      </c>
      <c r="B1248" s="3" t="s">
        <v>137</v>
      </c>
      <c r="C1248" s="3" t="s">
        <v>6</v>
      </c>
      <c r="D1248" s="3" t="str">
        <f>IFERROR(__xludf.DUMMYFUNCTION("GOOGLETRANSLATE(A1248, ""en"", ""zh-CN"")"),"许多")</f>
        <v>许多</v>
      </c>
    </row>
    <row r="1249" ht="15.75" customHeight="1">
      <c r="A1249" s="3" t="s">
        <v>1269</v>
      </c>
      <c r="B1249" s="3" t="s">
        <v>8</v>
      </c>
      <c r="C1249" s="3" t="s">
        <v>16</v>
      </c>
      <c r="D1249" s="3" t="str">
        <f>IFERROR(__xludf.DUMMYFUNCTION("GOOGLETRANSLATE(A1249, ""en"", ""zh-CN"")"),"金属")</f>
        <v>金属</v>
      </c>
    </row>
    <row r="1250" ht="15.75" customHeight="1">
      <c r="A1250" s="3" t="s">
        <v>1270</v>
      </c>
      <c r="B1250" s="3" t="s">
        <v>8</v>
      </c>
      <c r="C1250" s="3" t="s">
        <v>6</v>
      </c>
      <c r="D1250" s="3" t="str">
        <f>IFERROR(__xludf.DUMMYFUNCTION("GOOGLETRANSLATE(A1250, ""en"", ""zh-CN"")"),"母亲")</f>
        <v>母亲</v>
      </c>
    </row>
    <row r="1251" ht="15.75" customHeight="1">
      <c r="A1251" s="3" t="s">
        <v>1271</v>
      </c>
      <c r="B1251" s="3" t="s">
        <v>8</v>
      </c>
      <c r="C1251" s="3" t="s">
        <v>16</v>
      </c>
      <c r="D1251" s="3" t="str">
        <f>IFERROR(__xludf.DUMMYFUNCTION("GOOGLETRANSLATE(A1251, ""en"", ""zh-CN"")"),"方法")</f>
        <v>方法</v>
      </c>
    </row>
    <row r="1252" ht="15.75" customHeight="1">
      <c r="A1252" s="3" t="s">
        <v>1272</v>
      </c>
      <c r="B1252" s="3" t="s">
        <v>8</v>
      </c>
      <c r="C1252" s="3" t="s">
        <v>6</v>
      </c>
      <c r="D1252" s="3" t="str">
        <f>IFERROR(__xludf.DUMMYFUNCTION("GOOGLETRANSLATE(A1252, ""en"", ""zh-CN"")"),"行进")</f>
        <v>行进</v>
      </c>
    </row>
    <row r="1253" ht="15.75" customHeight="1">
      <c r="A1253" s="3" t="s">
        <v>1273</v>
      </c>
      <c r="B1253" s="3" t="s">
        <v>8</v>
      </c>
      <c r="C1253" s="3" t="s">
        <v>6</v>
      </c>
      <c r="D1253" s="3" t="str">
        <f>IFERROR(__xludf.DUMMYFUNCTION("GOOGLETRANSLATE(A1253, ""en"", ""zh-CN"")"),"仪表")</f>
        <v>仪表</v>
      </c>
    </row>
    <row r="1254" ht="15.75" customHeight="1">
      <c r="A1254" s="3" t="s">
        <v>1274</v>
      </c>
      <c r="B1254" s="3" t="s">
        <v>8</v>
      </c>
      <c r="C1254" s="3" t="s">
        <v>16</v>
      </c>
      <c r="D1254" s="3" t="str">
        <f>IFERROR(__xludf.DUMMYFUNCTION("GOOGLETRANSLATE(A1254, ""en"", ""zh-CN"")"),"摩托车")</f>
        <v>摩托车</v>
      </c>
    </row>
    <row r="1255" ht="15.75" customHeight="1">
      <c r="A1255" s="3" t="s">
        <v>1275</v>
      </c>
      <c r="B1255" s="3" t="s">
        <v>12</v>
      </c>
      <c r="C1255" s="3" t="s">
        <v>13</v>
      </c>
      <c r="D1255" s="3" t="str">
        <f>IFERROR(__xludf.DUMMYFUNCTION("GOOGLETRANSLATE(A1255, ""en"", ""zh-CN"")"),"山")</f>
        <v>山</v>
      </c>
    </row>
    <row r="1256" ht="15.75" customHeight="1">
      <c r="A1256" s="3" t="s">
        <v>1276</v>
      </c>
      <c r="B1256" s="3" t="s">
        <v>8</v>
      </c>
      <c r="C1256" s="3" t="s">
        <v>6</v>
      </c>
      <c r="D1256" s="3" t="str">
        <f>IFERROR(__xludf.DUMMYFUNCTION("GOOGLETRANSLATE(A1256, ""en"", ""zh-CN"")"),"午夜")</f>
        <v>午夜</v>
      </c>
    </row>
    <row r="1257" ht="15.75" customHeight="1">
      <c r="A1257" s="3" t="s">
        <v>1277</v>
      </c>
      <c r="B1257" s="3" t="s">
        <v>8</v>
      </c>
      <c r="C1257" s="3" t="s">
        <v>6</v>
      </c>
      <c r="D1257" s="3" t="str">
        <f>IFERROR(__xludf.DUMMYFUNCTION("GOOGLETRANSLATE(A1257, ""en"", ""zh-CN"")"),"山")</f>
        <v>山</v>
      </c>
    </row>
    <row r="1258" ht="15.75" customHeight="1">
      <c r="A1258" s="3" t="s">
        <v>1278</v>
      </c>
      <c r="B1258" s="3" t="s">
        <v>8</v>
      </c>
      <c r="C1258" s="3" t="s">
        <v>9</v>
      </c>
      <c r="D1258" s="3" t="str">
        <f>IFERROR(__xludf.DUMMYFUNCTION("GOOGLETRANSLATE(A1258, ""en"", ""zh-CN"")"),"营销")</f>
        <v>营销</v>
      </c>
    </row>
    <row r="1259" ht="15.75" customHeight="1">
      <c r="A1259" s="3" t="s">
        <v>1279</v>
      </c>
      <c r="B1259" s="3" t="s">
        <v>8</v>
      </c>
      <c r="C1259" s="3" t="s">
        <v>6</v>
      </c>
      <c r="D1259" s="3" t="str">
        <f>IFERROR(__xludf.DUMMYFUNCTION("GOOGLETRANSLATE(A1259, ""en"", ""zh-CN"")"),"老鼠")</f>
        <v>老鼠</v>
      </c>
    </row>
    <row r="1260" ht="15.75" customHeight="1">
      <c r="A1260" s="3" t="s">
        <v>1280</v>
      </c>
      <c r="B1260" s="3" t="s">
        <v>8</v>
      </c>
      <c r="C1260" s="3" t="s">
        <v>9</v>
      </c>
      <c r="D1260" s="3" t="str">
        <f>IFERROR(__xludf.DUMMYFUNCTION("GOOGLETRANSLATE(A1260, ""en"", ""zh-CN"")"),"婚姻")</f>
        <v>婚姻</v>
      </c>
    </row>
    <row r="1261" ht="15.75" customHeight="1">
      <c r="A1261" s="3" t="s">
        <v>1281</v>
      </c>
      <c r="B1261" s="3" t="s">
        <v>22</v>
      </c>
      <c r="C1261" s="3" t="s">
        <v>9</v>
      </c>
      <c r="D1261" s="3" t="str">
        <f>IFERROR(__xludf.DUMMYFUNCTION("GOOGLETRANSLATE(A1261, ""en"", ""zh-CN"")"),"温和的")</f>
        <v>温和的</v>
      </c>
    </row>
    <row r="1262" ht="15.75" customHeight="1">
      <c r="A1262" s="3" t="s">
        <v>1282</v>
      </c>
      <c r="B1262" s="3" t="s">
        <v>8</v>
      </c>
      <c r="C1262" s="3" t="s">
        <v>6</v>
      </c>
      <c r="D1262" s="3" t="str">
        <f>IFERROR(__xludf.DUMMYFUNCTION("GOOGLETRANSLATE(A1262, ""en"", ""zh-CN"")"),"嘴")</f>
        <v>嘴</v>
      </c>
    </row>
    <row r="1263" ht="15.75" customHeight="1">
      <c r="A1263" s="3" t="s">
        <v>1283</v>
      </c>
      <c r="B1263" s="3" t="s">
        <v>22</v>
      </c>
      <c r="C1263" s="3" t="s">
        <v>6</v>
      </c>
      <c r="D1263" s="3" t="str">
        <f>IFERROR(__xludf.DUMMYFUNCTION("GOOGLETRANSLATE(A1263, ""en"", ""zh-CN"")"),"已婚")</f>
        <v>已婚</v>
      </c>
    </row>
    <row r="1264" ht="15.75" customHeight="1">
      <c r="A1264" s="3" t="s">
        <v>1284</v>
      </c>
      <c r="B1264" s="3" t="s">
        <v>8</v>
      </c>
      <c r="C1264" s="3" t="s">
        <v>6</v>
      </c>
      <c r="D1264" s="3" t="str">
        <f>IFERROR(__xludf.DUMMYFUNCTION("GOOGLETRANSLATE(A1264, ""en"", ""zh-CN"")"),"英里")</f>
        <v>英里</v>
      </c>
    </row>
    <row r="1265" ht="15.75" customHeight="1">
      <c r="A1265" s="3" t="s">
        <v>1285</v>
      </c>
      <c r="B1265" s="3" t="s">
        <v>12</v>
      </c>
      <c r="C1265" s="3" t="s">
        <v>16</v>
      </c>
      <c r="D1265" s="3" t="str">
        <f>IFERROR(__xludf.DUMMYFUNCTION("GOOGLETRANSLATE(A1265, ""en"", ""zh-CN"")"),"结婚")</f>
        <v>结婚</v>
      </c>
    </row>
    <row r="1266" ht="15.75" customHeight="1">
      <c r="A1266" s="3" t="s">
        <v>1286</v>
      </c>
      <c r="B1266" s="3" t="s">
        <v>8</v>
      </c>
      <c r="C1266" s="3" t="s">
        <v>16</v>
      </c>
      <c r="D1266" s="3" t="str">
        <f>IFERROR(__xludf.DUMMYFUNCTION("GOOGLETRANSLATE(A1266, ""en"", ""zh-CN"")"),"移动")</f>
        <v>移动</v>
      </c>
    </row>
    <row r="1267" ht="15.75" customHeight="1">
      <c r="A1267" s="3" t="s">
        <v>1287</v>
      </c>
      <c r="B1267" s="3" t="s">
        <v>8</v>
      </c>
      <c r="C1267" s="3" t="s">
        <v>6</v>
      </c>
      <c r="D1267" s="3" t="str">
        <f>IFERROR(__xludf.DUMMYFUNCTION("GOOGLETRANSLATE(A1267, ""en"", ""zh-CN"")"),"牛奶")</f>
        <v>牛奶</v>
      </c>
    </row>
    <row r="1268" ht="15.75" customHeight="1">
      <c r="A1268" s="3" t="s">
        <v>1288</v>
      </c>
      <c r="B1268" s="3" t="s">
        <v>8</v>
      </c>
      <c r="C1268" s="3" t="s">
        <v>6</v>
      </c>
      <c r="D1268" s="3" t="str">
        <f>IFERROR(__xludf.DUMMYFUNCTION("GOOGLETRANSLATE(A1268, ""en"", ""zh-CN"")"),"电影")</f>
        <v>电影</v>
      </c>
    </row>
    <row r="1269" ht="15.75" customHeight="1">
      <c r="A1269" s="3" t="s">
        <v>1289</v>
      </c>
      <c r="B1269" s="3" t="s">
        <v>22</v>
      </c>
      <c r="C1269" s="3" t="s">
        <v>13</v>
      </c>
      <c r="D1269" s="3" t="str">
        <f>IFERROR(__xludf.DUMMYFUNCTION("GOOGLETRANSLATE(A1269, ""en"", ""zh-CN"")"),"大量的")</f>
        <v>大量的</v>
      </c>
    </row>
    <row r="1270" ht="15.75" customHeight="1">
      <c r="A1270" s="3" t="s">
        <v>1290</v>
      </c>
      <c r="B1270" s="3" t="s">
        <v>227</v>
      </c>
      <c r="C1270" s="3" t="s">
        <v>6</v>
      </c>
      <c r="D1270" s="3" t="str">
        <f>IFERROR(__xludf.DUMMYFUNCTION("GOOGLETRANSLATE(A1270, ""en"", ""zh-CN"")"),"百万")</f>
        <v>百万</v>
      </c>
    </row>
    <row r="1271" ht="15.75" customHeight="1">
      <c r="A1271" s="3" t="s">
        <v>1291</v>
      </c>
      <c r="B1271" s="3" t="s">
        <v>8</v>
      </c>
      <c r="C1271" s="3" t="s">
        <v>9</v>
      </c>
      <c r="D1271" s="3" t="str">
        <f>IFERROR(__xludf.DUMMYFUNCTION("GOOGLETRANSLATE(A1271, ""en"", ""zh-CN"")"),"泥")</f>
        <v>泥</v>
      </c>
    </row>
    <row r="1272" ht="15.75" customHeight="1">
      <c r="A1272" s="3" t="s">
        <v>1292</v>
      </c>
      <c r="B1272" s="3" t="s">
        <v>22</v>
      </c>
      <c r="C1272" s="3" t="s">
        <v>13</v>
      </c>
      <c r="D1272" s="3" t="str">
        <f>IFERROR(__xludf.DUMMYFUNCTION("GOOGLETRANSLATE(A1272, ""en"", ""zh-CN"")"),"多种的")</f>
        <v>多种的</v>
      </c>
    </row>
    <row r="1273" ht="15.75" customHeight="1">
      <c r="A1273" s="3" t="s">
        <v>1293</v>
      </c>
      <c r="B1273" s="3" t="s">
        <v>22</v>
      </c>
      <c r="C1273" s="3" t="s">
        <v>13</v>
      </c>
      <c r="D1273" s="3" t="str">
        <f>IFERROR(__xludf.DUMMYFUNCTION("GOOGLETRANSLATE(A1273, ""en"", ""zh-CN"")"),"匹配")</f>
        <v>匹配</v>
      </c>
    </row>
    <row r="1274" ht="15.75" customHeight="1">
      <c r="A1274" s="3" t="s">
        <v>1294</v>
      </c>
      <c r="B1274" s="3" t="s">
        <v>12</v>
      </c>
      <c r="C1274" s="3" t="s">
        <v>13</v>
      </c>
      <c r="D1274" s="3" t="str">
        <f>IFERROR(__xludf.DUMMYFUNCTION("GOOGLETRANSLATE(A1274, ""en"", ""zh-CN"")"),"乘")</f>
        <v>乘</v>
      </c>
    </row>
    <row r="1275" ht="15.75" customHeight="1">
      <c r="A1275" s="3" t="s">
        <v>1295</v>
      </c>
      <c r="B1275" s="3" t="s">
        <v>8</v>
      </c>
      <c r="C1275" s="3" t="s">
        <v>13</v>
      </c>
      <c r="D1275" s="3" t="str">
        <f>IFERROR(__xludf.DUMMYFUNCTION("GOOGLETRANSLATE(A1275, ""en"", ""zh-CN"")"),"矿物")</f>
        <v>矿物</v>
      </c>
    </row>
    <row r="1276" ht="15.75" customHeight="1">
      <c r="A1276" s="3" t="s">
        <v>1296</v>
      </c>
      <c r="B1276" s="3" t="s">
        <v>8</v>
      </c>
      <c r="C1276" s="3" t="s">
        <v>6</v>
      </c>
      <c r="D1276" s="3" t="str">
        <f>IFERROR(__xludf.DUMMYFUNCTION("GOOGLETRANSLATE(A1276, ""en"", ""zh-CN"")"),"妈妈")</f>
        <v>妈妈</v>
      </c>
    </row>
    <row r="1277" ht="15.75" customHeight="1">
      <c r="A1277" s="3" t="s">
        <v>1297</v>
      </c>
      <c r="B1277" s="3" t="s">
        <v>8</v>
      </c>
      <c r="C1277" s="3" t="s">
        <v>16</v>
      </c>
      <c r="D1277" s="3" t="str">
        <f>IFERROR(__xludf.DUMMYFUNCTION("GOOGLETRANSLATE(A1277, ""en"", ""zh-CN"")"),"数学")</f>
        <v>数学</v>
      </c>
    </row>
    <row r="1278" ht="15.75" customHeight="1">
      <c r="A1278" s="3" t="s">
        <v>1298</v>
      </c>
      <c r="B1278" s="3" t="s">
        <v>8</v>
      </c>
      <c r="C1278" s="3" t="s">
        <v>16</v>
      </c>
      <c r="D1278" s="3" t="str">
        <f>IFERROR(__xludf.DUMMYFUNCTION("GOOGLETRANSLATE(A1278, ""en"", ""zh-CN"")"),"数学")</f>
        <v>数学</v>
      </c>
    </row>
    <row r="1279" ht="15.75" customHeight="1">
      <c r="A1279" s="3" t="s">
        <v>1299</v>
      </c>
      <c r="B1279" s="3" t="s">
        <v>8</v>
      </c>
      <c r="C1279" s="3" t="s">
        <v>13</v>
      </c>
      <c r="D1279" s="3" t="str">
        <f>IFERROR(__xludf.DUMMYFUNCTION("GOOGLETRANSLATE(A1279, ""en"", ""zh-CN"")"),"部长")</f>
        <v>部长</v>
      </c>
    </row>
    <row r="1280" ht="15.75" customHeight="1">
      <c r="A1280" s="3" t="s">
        <v>1300</v>
      </c>
      <c r="B1280" s="3" t="s">
        <v>8</v>
      </c>
      <c r="C1280" s="3" t="s">
        <v>9</v>
      </c>
      <c r="D1280" s="3" t="str">
        <f>IFERROR(__xludf.DUMMYFUNCTION("GOOGLETRANSLATE(A1280, ""en"", ""zh-CN"")"),"肌肉")</f>
        <v>肌肉</v>
      </c>
    </row>
    <row r="1281" ht="15.75" customHeight="1">
      <c r="A1281" s="3" t="s">
        <v>1301</v>
      </c>
      <c r="B1281" s="3" t="s">
        <v>22</v>
      </c>
      <c r="C1281" s="3" t="s">
        <v>13</v>
      </c>
      <c r="D1281" s="3" t="str">
        <f>IFERROR(__xludf.DUMMYFUNCTION("GOOGLETRANSLATE(A1281, ""en"", ""zh-CN"")"),"次要的")</f>
        <v>次要的</v>
      </c>
    </row>
    <row r="1282" ht="15.75" customHeight="1">
      <c r="A1282" s="3" t="s">
        <v>1302</v>
      </c>
      <c r="B1282" s="3" t="s">
        <v>8</v>
      </c>
      <c r="C1282" s="3" t="s">
        <v>6</v>
      </c>
      <c r="D1282" s="3" t="str">
        <f>IFERROR(__xludf.DUMMYFUNCTION("GOOGLETRANSLATE(A1282, ""en"", ""zh-CN"")"),"博物馆")</f>
        <v>博物馆</v>
      </c>
    </row>
    <row r="1283" ht="15.75" customHeight="1">
      <c r="A1283" s="3" t="s">
        <v>1303</v>
      </c>
      <c r="B1283" s="3" t="s">
        <v>8</v>
      </c>
      <c r="C1283" s="3" t="s">
        <v>13</v>
      </c>
      <c r="D1283" s="3" t="str">
        <f>IFERROR(__xludf.DUMMYFUNCTION("GOOGLETRANSLATE(A1283, ""en"", ""zh-CN"")"),"少数民族")</f>
        <v>少数民族</v>
      </c>
    </row>
    <row r="1284" ht="15.75" customHeight="1">
      <c r="A1284" s="3" t="s">
        <v>1304</v>
      </c>
      <c r="B1284" s="3" t="s">
        <v>8</v>
      </c>
      <c r="C1284" s="3" t="s">
        <v>6</v>
      </c>
      <c r="D1284" s="3" t="str">
        <f>IFERROR(__xludf.DUMMYFUNCTION("GOOGLETRANSLATE(A1284, ""en"", ""zh-CN"")"),"音乐")</f>
        <v>音乐</v>
      </c>
    </row>
    <row r="1285" ht="15.75" customHeight="1">
      <c r="A1285" s="3" t="s">
        <v>1305</v>
      </c>
      <c r="B1285" s="3" t="s">
        <v>8</v>
      </c>
      <c r="C1285" s="3" t="s">
        <v>6</v>
      </c>
      <c r="D1285" s="3" t="str">
        <f>IFERROR(__xludf.DUMMYFUNCTION("GOOGLETRANSLATE(A1285, ""en"", ""zh-CN"")"),"可能")</f>
        <v>可能</v>
      </c>
    </row>
    <row r="1286" ht="15.75" customHeight="1">
      <c r="A1286" s="3" t="s">
        <v>1306</v>
      </c>
      <c r="B1286" s="3" t="s">
        <v>8</v>
      </c>
      <c r="C1286" s="3" t="s">
        <v>6</v>
      </c>
      <c r="D1286" s="3" t="str">
        <f>IFERROR(__xludf.DUMMYFUNCTION("GOOGLETRANSLATE(A1286, ""en"", ""zh-CN"")"),"分钟1")</f>
        <v>分钟1</v>
      </c>
    </row>
    <row r="1287" ht="15.75" customHeight="1">
      <c r="A1287" s="3" t="s">
        <v>1307</v>
      </c>
      <c r="B1287" s="3" t="s">
        <v>8</v>
      </c>
      <c r="C1287" s="3" t="s">
        <v>16</v>
      </c>
      <c r="D1287" s="3" t="str">
        <f>IFERROR(__xludf.DUMMYFUNCTION("GOOGLETRANSLATE(A1287, ""en"", ""zh-CN"")"),"镜子")</f>
        <v>镜子</v>
      </c>
    </row>
    <row r="1288" ht="15.75" customHeight="1">
      <c r="A1288" s="3" t="s">
        <v>1308</v>
      </c>
      <c r="B1288" s="3" t="s">
        <v>8</v>
      </c>
      <c r="C1288" s="3" t="s">
        <v>16</v>
      </c>
      <c r="D1288" s="3" t="str">
        <f>IFERROR(__xludf.DUMMYFUNCTION("GOOGLETRANSLATE(A1288, ""en"", ""zh-CN"")"),"音乐家")</f>
        <v>音乐家</v>
      </c>
    </row>
    <row r="1289" ht="15.75" customHeight="1">
      <c r="A1289" s="3" t="s">
        <v>1309</v>
      </c>
      <c r="B1289" s="3" t="s">
        <v>20</v>
      </c>
      <c r="C1289" s="3" t="s">
        <v>6</v>
      </c>
      <c r="D1289" s="3" t="str">
        <f>IFERROR(__xludf.DUMMYFUNCTION("GOOGLETRANSLATE(A1289, ""en"", ""zh-CN"")"),"或许")</f>
        <v>或许</v>
      </c>
    </row>
    <row r="1290" ht="15.75" customHeight="1">
      <c r="A1290" s="3" t="s">
        <v>1310</v>
      </c>
      <c r="B1290" s="3" t="s">
        <v>12</v>
      </c>
      <c r="C1290" s="3" t="s">
        <v>6</v>
      </c>
      <c r="D1290" s="3" t="str">
        <f>IFERROR(__xludf.DUMMYFUNCTION("GOOGLETRANSLATE(A1290, ""en"", ""zh-CN"")"),"错过")</f>
        <v>错过</v>
      </c>
    </row>
    <row r="1291" ht="15.75" customHeight="1">
      <c r="A1291" s="3" t="s">
        <v>1311</v>
      </c>
      <c r="B1291" s="3" t="s">
        <v>146</v>
      </c>
      <c r="C1291" s="3" t="s">
        <v>6</v>
      </c>
      <c r="D1291" s="3" t="str">
        <f>IFERROR(__xludf.DUMMYFUNCTION("GOOGLETRANSLATE(A1291, ""en"", ""zh-CN"")"),"我")</f>
        <v>我</v>
      </c>
    </row>
    <row r="1292" ht="15.75" customHeight="1">
      <c r="A1292" s="3" t="s">
        <v>1312</v>
      </c>
      <c r="B1292" s="3" t="s">
        <v>22</v>
      </c>
      <c r="C1292" s="3" t="s">
        <v>16</v>
      </c>
      <c r="D1292" s="3" t="str">
        <f>IFERROR(__xludf.DUMMYFUNCTION("GOOGLETRANSLATE(A1292, ""en"", ""zh-CN"")"),"丢失的")</f>
        <v>丢失的</v>
      </c>
    </row>
    <row r="1293" ht="15.75" customHeight="1">
      <c r="A1293" s="3" t="s">
        <v>1313</v>
      </c>
      <c r="B1293" s="3" t="s">
        <v>783</v>
      </c>
      <c r="C1293" s="3" t="s">
        <v>6</v>
      </c>
      <c r="D1293" s="3" t="str">
        <f>IFERROR(__xludf.DUMMYFUNCTION("GOOGLETRANSLATE(A1293, ""en"", ""zh-CN"")"),"我的")</f>
        <v>我的</v>
      </c>
    </row>
    <row r="1294" ht="15.75" customHeight="1">
      <c r="A1294" s="3" t="s">
        <v>1314</v>
      </c>
      <c r="B1294" s="3" t="s">
        <v>8</v>
      </c>
      <c r="C1294" s="3" t="s">
        <v>6</v>
      </c>
      <c r="D1294" s="3" t="str">
        <f>IFERROR(__xludf.DUMMYFUNCTION("GOOGLETRANSLATE(A1294, ""en"", ""zh-CN"")"),"一顿饭")</f>
        <v>一顿饭</v>
      </c>
    </row>
    <row r="1295" ht="15.75" customHeight="1">
      <c r="A1295" s="3" t="s">
        <v>1315</v>
      </c>
      <c r="B1295" s="3" t="s">
        <v>8</v>
      </c>
      <c r="C1295" s="3" t="s">
        <v>13</v>
      </c>
      <c r="D1295" s="3" t="str">
        <f>IFERROR(__xludf.DUMMYFUNCTION("GOOGLETRANSLATE(A1295, ""en"", ""zh-CN"")"),"使命")</f>
        <v>使命</v>
      </c>
    </row>
    <row r="1296" ht="15.75" customHeight="1">
      <c r="A1296" s="3" t="s">
        <v>1316</v>
      </c>
      <c r="B1296" s="3" t="s">
        <v>146</v>
      </c>
      <c r="C1296" s="3" t="s">
        <v>16</v>
      </c>
      <c r="D1296" s="3" t="str">
        <f>IFERROR(__xludf.DUMMYFUNCTION("GOOGLETRANSLATE(A1296, ""en"", ""zh-CN"")"),"我")</f>
        <v>我</v>
      </c>
    </row>
    <row r="1297" ht="15.75" customHeight="1">
      <c r="A1297" s="3" t="s">
        <v>1317</v>
      </c>
      <c r="B1297" s="3" t="s">
        <v>12</v>
      </c>
      <c r="C1297" s="3" t="s">
        <v>6</v>
      </c>
      <c r="D1297" s="3" t="str">
        <f>IFERROR(__xludf.DUMMYFUNCTION("GOOGLETRANSLATE(A1297, ""en"", ""zh-CN"")"),"意思是")</f>
        <v>意思是</v>
      </c>
    </row>
    <row r="1298" ht="15.75" customHeight="1">
      <c r="A1298" s="3" t="s">
        <v>1318</v>
      </c>
      <c r="B1298" s="3" t="s">
        <v>22</v>
      </c>
      <c r="C1298" s="3" t="s">
        <v>13</v>
      </c>
      <c r="D1298" s="3" t="str">
        <f>IFERROR(__xludf.DUMMYFUNCTION("GOOGLETRANSLATE(A1298, ""en"", ""zh-CN"")"),"神秘")</f>
        <v>神秘</v>
      </c>
    </row>
    <row r="1299" ht="15.75" customHeight="1">
      <c r="A1299" s="3" t="s">
        <v>1319</v>
      </c>
      <c r="B1299" s="3" t="s">
        <v>8</v>
      </c>
      <c r="C1299" s="3" t="s">
        <v>6</v>
      </c>
      <c r="D1299" s="3" t="str">
        <f>IFERROR(__xludf.DUMMYFUNCTION("GOOGLETRANSLATE(A1299, ""en"", ""zh-CN"")"),"意义")</f>
        <v>意义</v>
      </c>
    </row>
    <row r="1300" ht="15.75" customHeight="1">
      <c r="A1300" s="3" t="s">
        <v>1320</v>
      </c>
      <c r="B1300" s="3" t="s">
        <v>8</v>
      </c>
      <c r="C1300" s="3" t="s">
        <v>9</v>
      </c>
      <c r="D1300" s="3" t="str">
        <f>IFERROR(__xludf.DUMMYFUNCTION("GOOGLETRANSLATE(A1300, ""en"", ""zh-CN"")"),"神秘")</f>
        <v>神秘</v>
      </c>
    </row>
    <row r="1301" ht="15.75" customHeight="1">
      <c r="A1301" s="3" t="s">
        <v>1321</v>
      </c>
      <c r="B1301" s="3" t="s">
        <v>8</v>
      </c>
      <c r="C1301" s="3" t="s">
        <v>13</v>
      </c>
      <c r="D1301" s="3" t="str">
        <f>IFERROR(__xludf.DUMMYFUNCTION("GOOGLETRANSLATE(A1301, ""en"", ""zh-CN"")"),"方法")</f>
        <v>方法</v>
      </c>
    </row>
    <row r="1302" ht="15.75" customHeight="1">
      <c r="A1302" s="3" t="s">
        <v>1322</v>
      </c>
      <c r="B1302" s="3" t="s">
        <v>22</v>
      </c>
      <c r="C1302" s="3" t="s">
        <v>13</v>
      </c>
      <c r="D1302" s="3" t="str">
        <f>IFERROR(__xludf.DUMMYFUNCTION("GOOGLETRANSLATE(A1302, ""en"", ""zh-CN"")"),"混合")</f>
        <v>混合</v>
      </c>
    </row>
    <row r="1303" ht="15.75" customHeight="1">
      <c r="A1303" s="3" t="s">
        <v>1323</v>
      </c>
      <c r="B1303" s="3" t="s">
        <v>8</v>
      </c>
      <c r="C1303" s="3" t="s">
        <v>9</v>
      </c>
      <c r="D1303" s="3" t="str">
        <f>IFERROR(__xludf.DUMMYFUNCTION("GOOGLETRANSLATE(A1303, ""en"", ""zh-CN"")"),"指甲")</f>
        <v>指甲</v>
      </c>
    </row>
    <row r="1304" ht="15.75" customHeight="1">
      <c r="A1304" s="3" t="s">
        <v>1324</v>
      </c>
      <c r="B1304" s="3" t="s">
        <v>8</v>
      </c>
      <c r="C1304" s="3" t="s">
        <v>13</v>
      </c>
      <c r="D1304" s="3" t="str">
        <f>IFERROR(__xludf.DUMMYFUNCTION("GOOGLETRANSLATE(A1304, ""en"", ""zh-CN"")"),"神经")</f>
        <v>神经</v>
      </c>
    </row>
    <row r="1305" ht="15.75" customHeight="1">
      <c r="A1305" s="3" t="s">
        <v>1325</v>
      </c>
      <c r="B1305" s="3" t="s">
        <v>146</v>
      </c>
      <c r="C1305" s="3" t="s">
        <v>16</v>
      </c>
      <c r="D1305" s="3" t="str">
        <f>IFERROR(__xludf.DUMMYFUNCTION("GOOGLETRANSLATE(A1305, ""en"", ""zh-CN"")"),"没有任何")</f>
        <v>没有任何</v>
      </c>
    </row>
    <row r="1306" ht="15.75" customHeight="1">
      <c r="A1306" s="3" t="s">
        <v>1326</v>
      </c>
      <c r="B1306" s="3" t="s">
        <v>22</v>
      </c>
      <c r="C1306" s="3" t="s">
        <v>16</v>
      </c>
      <c r="D1306" s="3" t="str">
        <f>IFERROR(__xludf.DUMMYFUNCTION("GOOGLETRANSLATE(A1306, ""en"", ""zh-CN"")"),"紧张的")</f>
        <v>紧张的</v>
      </c>
    </row>
    <row r="1307" ht="15.75" customHeight="1">
      <c r="A1307" s="3" t="s">
        <v>1327</v>
      </c>
      <c r="B1307" s="3" t="s">
        <v>1328</v>
      </c>
      <c r="C1307" s="3" t="s">
        <v>9</v>
      </c>
      <c r="D1307" s="3" t="str">
        <f>IFERROR(__xludf.DUMMYFUNCTION("GOOGLETRANSLATE(A1307, ""en"", ""zh-CN"")"),"也不")</f>
        <v>也不</v>
      </c>
    </row>
    <row r="1308" ht="15.75" customHeight="1">
      <c r="A1308" s="3" t="s">
        <v>1329</v>
      </c>
      <c r="B1308" s="3" t="s">
        <v>8</v>
      </c>
      <c r="C1308" s="3" t="s">
        <v>9</v>
      </c>
      <c r="D1308" s="3" t="str">
        <f>IFERROR(__xludf.DUMMYFUNCTION("GOOGLETRANSLATE(A1308, ""en"", ""zh-CN"")"),"网")</f>
        <v>网</v>
      </c>
    </row>
    <row r="1309" ht="15.75" customHeight="1">
      <c r="A1309" s="3" t="s">
        <v>1330</v>
      </c>
      <c r="B1309" s="3" t="s">
        <v>8</v>
      </c>
      <c r="C1309" s="3" t="s">
        <v>16</v>
      </c>
      <c r="D1309" s="3" t="str">
        <f>IFERROR(__xludf.DUMMYFUNCTION("GOOGLETRANSLATE(A1309, ""en"", ""zh-CN"")"),"网络")</f>
        <v>网络</v>
      </c>
    </row>
    <row r="1310" ht="15.75" customHeight="1">
      <c r="A1310" s="3" t="s">
        <v>1331</v>
      </c>
      <c r="B1310" s="3" t="s">
        <v>20</v>
      </c>
      <c r="C1310" s="3" t="s">
        <v>16</v>
      </c>
      <c r="D1310" s="3" t="str">
        <f>IFERROR(__xludf.DUMMYFUNCTION("GOOGLETRANSLATE(A1310, ""en"", ""zh-CN"")"),"通常情况下")</f>
        <v>通常情况下</v>
      </c>
    </row>
    <row r="1311" ht="15.75" customHeight="1">
      <c r="A1311" s="3" t="s">
        <v>1332</v>
      </c>
      <c r="B1311" s="3" t="s">
        <v>8</v>
      </c>
      <c r="C1311" s="3" t="s">
        <v>9</v>
      </c>
      <c r="D1311" s="3" t="str">
        <f>IFERROR(__xludf.DUMMYFUNCTION("GOOGLETRANSLATE(A1311, ""en"", ""zh-CN"")"),"国家")</f>
        <v>国家</v>
      </c>
    </row>
    <row r="1312" ht="15.75" customHeight="1">
      <c r="A1312" s="3" t="s">
        <v>1333</v>
      </c>
      <c r="B1312" s="3" t="s">
        <v>20</v>
      </c>
      <c r="C1312" s="3" t="s">
        <v>6</v>
      </c>
      <c r="D1312" s="3" t="str">
        <f>IFERROR(__xludf.DUMMYFUNCTION("GOOGLETRANSLATE(A1312, ""en"", ""zh-CN"")"),"绝不")</f>
        <v>绝不</v>
      </c>
    </row>
    <row r="1313" ht="15.75" customHeight="1">
      <c r="A1313" s="3" t="s">
        <v>1334</v>
      </c>
      <c r="B1313" s="3" t="s">
        <v>20</v>
      </c>
      <c r="C1313" s="3" t="s">
        <v>13</v>
      </c>
      <c r="D1313" s="3" t="str">
        <f>IFERROR(__xludf.DUMMYFUNCTION("GOOGLETRANSLATE(A1313, ""en"", ""zh-CN"")"),"尽管如此")</f>
        <v>尽管如此</v>
      </c>
    </row>
    <row r="1314" ht="15.75" customHeight="1">
      <c r="A1314" s="3" t="s">
        <v>1335</v>
      </c>
      <c r="B1314" s="3" t="s">
        <v>22</v>
      </c>
      <c r="C1314" s="3" t="s">
        <v>9</v>
      </c>
      <c r="D1314" s="3" t="str">
        <f>IFERROR(__xludf.DUMMYFUNCTION("GOOGLETRANSLATE(A1314, ""en"", ""zh-CN"")"),"北方")</f>
        <v>北方</v>
      </c>
    </row>
    <row r="1315" ht="15.75" customHeight="1">
      <c r="A1315" s="3" t="s">
        <v>1336</v>
      </c>
      <c r="B1315" s="3" t="s">
        <v>22</v>
      </c>
      <c r="C1315" s="3" t="s">
        <v>6</v>
      </c>
      <c r="D1315" s="3" t="str">
        <f>IFERROR(__xludf.DUMMYFUNCTION("GOOGLETRANSLATE(A1315, ""en"", ""zh-CN"")"),"新的")</f>
        <v>新的</v>
      </c>
    </row>
    <row r="1316" ht="15.75" customHeight="1">
      <c r="A1316" s="3" t="s">
        <v>1337</v>
      </c>
      <c r="B1316" s="3" t="s">
        <v>8</v>
      </c>
      <c r="C1316" s="3" t="s">
        <v>6</v>
      </c>
      <c r="D1316" s="3" t="str">
        <f>IFERROR(__xludf.DUMMYFUNCTION("GOOGLETRANSLATE(A1316, ""en"", ""zh-CN"")"),"鼻子")</f>
        <v>鼻子</v>
      </c>
    </row>
    <row r="1317" ht="15.75" customHeight="1">
      <c r="A1317" s="3" t="s">
        <v>1338</v>
      </c>
      <c r="B1317" s="3" t="s">
        <v>22</v>
      </c>
      <c r="C1317" s="3" t="s">
        <v>6</v>
      </c>
      <c r="D1317" s="3" t="str">
        <f>IFERROR(__xludf.DUMMYFUNCTION("GOOGLETRANSLATE(A1317, ""en"", ""zh-CN"")"),"自然的")</f>
        <v>自然的</v>
      </c>
    </row>
    <row r="1318" ht="15.75" customHeight="1">
      <c r="A1318" s="3" t="s">
        <v>1339</v>
      </c>
      <c r="B1318" s="3" t="s">
        <v>8</v>
      </c>
      <c r="C1318" s="3" t="s">
        <v>6</v>
      </c>
      <c r="D1318" s="3" t="str">
        <f>IFERROR(__xludf.DUMMYFUNCTION("GOOGLETRANSLATE(A1318, ""en"", ""zh-CN"")"),"消息")</f>
        <v>消息</v>
      </c>
    </row>
    <row r="1319" ht="15.75" customHeight="1">
      <c r="A1319" s="3" t="s">
        <v>1340</v>
      </c>
      <c r="B1319" s="3" t="s">
        <v>20</v>
      </c>
      <c r="C1319" s="3" t="s">
        <v>6</v>
      </c>
      <c r="D1319" s="3" t="str">
        <f>IFERROR(__xludf.DUMMYFUNCTION("GOOGLETRANSLATE(A1319, ""en"", ""zh-CN"")"),"不是")</f>
        <v>不是</v>
      </c>
    </row>
    <row r="1320" ht="15.75" customHeight="1">
      <c r="A1320" s="3" t="s">
        <v>1341</v>
      </c>
      <c r="B1320" s="3" t="s">
        <v>20</v>
      </c>
      <c r="C1320" s="3" t="s">
        <v>9</v>
      </c>
      <c r="D1320" s="3" t="str">
        <f>IFERROR(__xludf.DUMMYFUNCTION("GOOGLETRANSLATE(A1320, ""en"", ""zh-CN"")"),"自然")</f>
        <v>自然</v>
      </c>
    </row>
    <row r="1321" ht="15.75" customHeight="1">
      <c r="A1321" s="3" t="s">
        <v>1342</v>
      </c>
      <c r="B1321" s="3" t="s">
        <v>8</v>
      </c>
      <c r="C1321" s="3" t="s">
        <v>6</v>
      </c>
      <c r="D1321" s="3" t="str">
        <f>IFERROR(__xludf.DUMMYFUNCTION("GOOGLETRANSLATE(A1321, ""en"", ""zh-CN"")"),"报纸")</f>
        <v>报纸</v>
      </c>
    </row>
    <row r="1322" ht="15.75" customHeight="1">
      <c r="A1322" s="3" t="s">
        <v>1343</v>
      </c>
      <c r="B1322" s="3" t="s">
        <v>8</v>
      </c>
      <c r="C1322" s="3" t="s">
        <v>16</v>
      </c>
      <c r="D1322" s="3" t="str">
        <f>IFERROR(__xludf.DUMMYFUNCTION("GOOGLETRANSLATE(A1322, ""en"", ""zh-CN"")"),"自然")</f>
        <v>自然</v>
      </c>
    </row>
    <row r="1323" ht="15.75" customHeight="1">
      <c r="A1323" s="3" t="s">
        <v>1344</v>
      </c>
      <c r="B1323" s="3" t="s">
        <v>146</v>
      </c>
      <c r="C1323" s="3" t="s">
        <v>6</v>
      </c>
      <c r="D1323" s="3" t="str">
        <f>IFERROR(__xludf.DUMMYFUNCTION("GOOGLETRANSLATE(A1323, ""en"", ""zh-CN"")"),"没有什么")</f>
        <v>没有什么</v>
      </c>
    </row>
    <row r="1324" ht="15.75" customHeight="1">
      <c r="A1324" s="3" t="s">
        <v>1345</v>
      </c>
      <c r="B1324" s="3" t="s">
        <v>20</v>
      </c>
      <c r="C1324" s="3" t="s">
        <v>16</v>
      </c>
      <c r="D1324" s="3" t="str">
        <f>IFERROR(__xludf.DUMMYFUNCTION("GOOGLETRANSLATE(A1324, ""en"", ""zh-CN"")"),"几乎")</f>
        <v>几乎</v>
      </c>
    </row>
    <row r="1325" ht="15.75" customHeight="1">
      <c r="A1325" s="3" t="s">
        <v>1346</v>
      </c>
      <c r="B1325" s="3" t="s">
        <v>22</v>
      </c>
      <c r="C1325" s="3" t="s">
        <v>6</v>
      </c>
      <c r="D1325" s="3" t="str">
        <f>IFERROR(__xludf.DUMMYFUNCTION("GOOGLETRANSLATE(A1325, ""en"", ""zh-CN"")"),"好的")</f>
        <v>好的</v>
      </c>
    </row>
    <row r="1326" ht="15.75" customHeight="1">
      <c r="A1326" s="3" t="s">
        <v>1347</v>
      </c>
      <c r="B1326" s="3" t="s">
        <v>8</v>
      </c>
      <c r="C1326" s="3" t="s">
        <v>13</v>
      </c>
      <c r="D1326" s="3" t="str">
        <f>IFERROR(__xludf.DUMMYFUNCTION("GOOGLETRANSLATE(A1326, ""en"", ""zh-CN"")"),"概念")</f>
        <v>概念</v>
      </c>
    </row>
    <row r="1327" ht="15.75" customHeight="1">
      <c r="A1327" s="3" t="s">
        <v>1348</v>
      </c>
      <c r="B1327" s="3" t="s">
        <v>22</v>
      </c>
      <c r="C1327" s="3" t="s">
        <v>13</v>
      </c>
      <c r="D1327" s="3" t="str">
        <f>IFERROR(__xludf.DUMMYFUNCTION("GOOGLETRANSLATE(A1327, ""en"", ""zh-CN"")"),"整洁的")</f>
        <v>整洁的</v>
      </c>
    </row>
    <row r="1328" ht="15.75" customHeight="1">
      <c r="A1328" s="3" t="s">
        <v>1349</v>
      </c>
      <c r="B1328" s="3" t="s">
        <v>8</v>
      </c>
      <c r="C1328" s="3" t="s">
        <v>6</v>
      </c>
      <c r="D1328" s="3" t="str">
        <f>IFERROR(__xludf.DUMMYFUNCTION("GOOGLETRANSLATE(A1328, ""en"", ""zh-CN"")"),"夜晚")</f>
        <v>夜晚</v>
      </c>
    </row>
    <row r="1329" ht="15.75" customHeight="1">
      <c r="A1329" s="3" t="s">
        <v>1350</v>
      </c>
      <c r="B1329" s="3" t="s">
        <v>8</v>
      </c>
      <c r="C1329" s="3" t="s">
        <v>16</v>
      </c>
      <c r="D1329" s="3" t="str">
        <f>IFERROR(__xludf.DUMMYFUNCTION("GOOGLETRANSLATE(A1329, ""en"", ""zh-CN"")"),"小说")</f>
        <v>小说</v>
      </c>
    </row>
    <row r="1330" ht="15.75" customHeight="1">
      <c r="A1330" s="3" t="s">
        <v>1351</v>
      </c>
      <c r="B1330" s="3" t="s">
        <v>20</v>
      </c>
      <c r="C1330" s="3" t="s">
        <v>9</v>
      </c>
      <c r="D1330" s="3" t="str">
        <f>IFERROR(__xludf.DUMMYFUNCTION("GOOGLETRANSLATE(A1330, ""en"", ""zh-CN"")"),"一定")</f>
        <v>一定</v>
      </c>
    </row>
    <row r="1331" ht="15.75" customHeight="1">
      <c r="A1331" s="3" t="s">
        <v>1352</v>
      </c>
      <c r="B1331" s="3" t="s">
        <v>8</v>
      </c>
      <c r="C1331" s="3" t="s">
        <v>13</v>
      </c>
      <c r="D1331" s="3" t="str">
        <f>IFERROR(__xludf.DUMMYFUNCTION("GOOGLETRANSLATE(A1331, ""en"", ""zh-CN"")"),"恶梦")</f>
        <v>恶梦</v>
      </c>
    </row>
    <row r="1332" ht="15.75" customHeight="1">
      <c r="A1332" s="3" t="s">
        <v>1353</v>
      </c>
      <c r="B1332" s="3" t="s">
        <v>8</v>
      </c>
      <c r="C1332" s="3" t="s">
        <v>6</v>
      </c>
      <c r="D1332" s="3" t="str">
        <f>IFERROR(__xludf.DUMMYFUNCTION("GOOGLETRANSLATE(A1332, ""en"", ""zh-CN"")"),"十一月")</f>
        <v>十一月</v>
      </c>
    </row>
    <row r="1333" ht="15.75" customHeight="1">
      <c r="A1333" s="3" t="s">
        <v>1354</v>
      </c>
      <c r="B1333" s="3" t="s">
        <v>22</v>
      </c>
      <c r="C1333" s="3" t="s">
        <v>16</v>
      </c>
      <c r="D1333" s="3" t="str">
        <f>IFERROR(__xludf.DUMMYFUNCTION("GOOGLETRANSLATE(A1333, ""en"", ""zh-CN"")"),"必要的")</f>
        <v>必要的</v>
      </c>
    </row>
    <row r="1334" ht="15.75" customHeight="1">
      <c r="A1334" s="3" t="s">
        <v>1355</v>
      </c>
      <c r="B1334" s="3" t="s">
        <v>227</v>
      </c>
      <c r="C1334" s="3" t="s">
        <v>6</v>
      </c>
      <c r="D1334" s="3" t="str">
        <f>IFERROR(__xludf.DUMMYFUNCTION("GOOGLETRANSLATE(A1334, ""en"", ""zh-CN"")"),"九")</f>
        <v>九</v>
      </c>
    </row>
    <row r="1335" ht="15.75" customHeight="1">
      <c r="A1335" s="3" t="s">
        <v>1356</v>
      </c>
      <c r="B1335" s="3" t="s">
        <v>8</v>
      </c>
      <c r="C1335" s="3" t="s">
        <v>16</v>
      </c>
      <c r="D1335" s="3" t="str">
        <f>IFERROR(__xludf.DUMMYFUNCTION("GOOGLETRANSLATE(A1335, ""en"", ""zh-CN"")"),"脖子")</f>
        <v>脖子</v>
      </c>
    </row>
    <row r="1336" ht="15.75" customHeight="1">
      <c r="A1336" s="3" t="s">
        <v>1357</v>
      </c>
      <c r="B1336" s="3" t="s">
        <v>227</v>
      </c>
      <c r="C1336" s="3" t="s">
        <v>6</v>
      </c>
      <c r="D1336" s="3" t="str">
        <f>IFERROR(__xludf.DUMMYFUNCTION("GOOGLETRANSLATE(A1336, ""en"", ""zh-CN"")"),"十九")</f>
        <v>十九</v>
      </c>
    </row>
    <row r="1337" ht="15.75" customHeight="1">
      <c r="A1337" s="3" t="s">
        <v>1358</v>
      </c>
      <c r="B1337" s="3" t="s">
        <v>20</v>
      </c>
      <c r="C1337" s="3" t="s">
        <v>16</v>
      </c>
      <c r="D1337" s="3" t="str">
        <f>IFERROR(__xludf.DUMMYFUNCTION("GOOGLETRANSLATE(A1337, ""en"", ""zh-CN"")"),"无处")</f>
        <v>无处</v>
      </c>
    </row>
    <row r="1338" ht="15.75" customHeight="1">
      <c r="A1338" s="3" t="s">
        <v>1359</v>
      </c>
      <c r="B1338" s="3" t="s">
        <v>227</v>
      </c>
      <c r="C1338" s="3" t="s">
        <v>6</v>
      </c>
      <c r="D1338" s="3" t="str">
        <f>IFERROR(__xludf.DUMMYFUNCTION("GOOGLETRANSLATE(A1338, ""en"", ""zh-CN"")"),"九十")</f>
        <v>九十</v>
      </c>
    </row>
    <row r="1339" ht="15.75" customHeight="1">
      <c r="A1339" s="3" t="s">
        <v>1360</v>
      </c>
      <c r="B1339" s="3" t="s">
        <v>22</v>
      </c>
      <c r="C1339" s="3" t="s">
        <v>9</v>
      </c>
      <c r="D1339" s="3" t="str">
        <f>IFERROR(__xludf.DUMMYFUNCTION("GOOGLETRANSLATE(A1339, ""en"", ""zh-CN"")"),"核")</f>
        <v>核</v>
      </c>
    </row>
    <row r="1340" ht="15.75" customHeight="1">
      <c r="A1340" s="3" t="s">
        <v>1361</v>
      </c>
      <c r="B1340" s="3" t="s">
        <v>8</v>
      </c>
      <c r="C1340" s="3" t="s">
        <v>9</v>
      </c>
      <c r="D1340" s="3" t="str">
        <f>IFERROR(__xludf.DUMMYFUNCTION("GOOGLETRANSLATE(A1340, ""en"", ""zh-CN"")"),"针")</f>
        <v>针</v>
      </c>
    </row>
    <row r="1341" ht="15.75" customHeight="1">
      <c r="A1341" s="3" t="s">
        <v>1362</v>
      </c>
      <c r="B1341" s="3" t="s">
        <v>22</v>
      </c>
      <c r="C1341" s="3" t="s">
        <v>13</v>
      </c>
      <c r="D1341" s="3" t="str">
        <f>IFERROR(__xludf.DUMMYFUNCTION("GOOGLETRANSLATE(A1341, ""en"", ""zh-CN"")"),"很多的")</f>
        <v>很多的</v>
      </c>
    </row>
    <row r="1342" ht="15.75" customHeight="1">
      <c r="A1342" s="3" t="s">
        <v>1363</v>
      </c>
      <c r="B1342" s="3" t="s">
        <v>8</v>
      </c>
      <c r="C1342" s="3" t="s">
        <v>6</v>
      </c>
      <c r="D1342" s="3" t="str">
        <f>IFERROR(__xludf.DUMMYFUNCTION("GOOGLETRANSLATE(A1342, ""en"", ""zh-CN"")"),"邻居")</f>
        <v>邻居</v>
      </c>
    </row>
    <row r="1343" ht="15.75" customHeight="1">
      <c r="A1343" s="3" t="s">
        <v>1364</v>
      </c>
      <c r="B1343" s="3" t="s">
        <v>146</v>
      </c>
      <c r="C1343" s="3" t="s">
        <v>6</v>
      </c>
      <c r="D1343" s="3" t="str">
        <f>IFERROR(__xludf.DUMMYFUNCTION("GOOGLETRANSLATE(A1343, ""en"", ""zh-CN"")"),"没有人")</f>
        <v>没有人</v>
      </c>
    </row>
    <row r="1344" ht="15.75" customHeight="1">
      <c r="A1344" s="3" t="s">
        <v>1365</v>
      </c>
      <c r="B1344" s="3" t="s">
        <v>8</v>
      </c>
      <c r="C1344" s="3" t="s">
        <v>6</v>
      </c>
      <c r="D1344" s="3" t="str">
        <f>IFERROR(__xludf.DUMMYFUNCTION("GOOGLETRANSLATE(A1344, ""en"", ""zh-CN"")"),"护士")</f>
        <v>护士</v>
      </c>
    </row>
    <row r="1345" ht="15.75" customHeight="1">
      <c r="A1345" s="3" t="s">
        <v>1366</v>
      </c>
      <c r="B1345" s="3" t="s">
        <v>8</v>
      </c>
      <c r="C1345" s="3" t="s">
        <v>9</v>
      </c>
      <c r="D1345" s="3" t="str">
        <f>IFERROR(__xludf.DUMMYFUNCTION("GOOGLETRANSLATE(A1345, ""en"", ""zh-CN"")"),"邻里")</f>
        <v>邻里</v>
      </c>
    </row>
    <row r="1346" ht="15.75" customHeight="1">
      <c r="A1346" s="3" t="s">
        <v>1367</v>
      </c>
      <c r="B1346" s="3" t="s">
        <v>8</v>
      </c>
      <c r="C1346" s="3" t="s">
        <v>16</v>
      </c>
      <c r="D1346" s="3" t="str">
        <f>IFERROR(__xludf.DUMMYFUNCTION("GOOGLETRANSLATE(A1346, ""en"", ""zh-CN"")"),"噪音")</f>
        <v>噪音</v>
      </c>
    </row>
    <row r="1347" ht="15.75" customHeight="1">
      <c r="A1347" s="3" t="s">
        <v>1368</v>
      </c>
      <c r="B1347" s="3" t="s">
        <v>8</v>
      </c>
      <c r="C1347" s="3" t="s">
        <v>16</v>
      </c>
      <c r="D1347" s="3" t="str">
        <f>IFERROR(__xludf.DUMMYFUNCTION("GOOGLETRANSLATE(A1347, ""en"", ""zh-CN"")"),"坚果")</f>
        <v>坚果</v>
      </c>
    </row>
    <row r="1348" ht="15.75" customHeight="1">
      <c r="A1348" s="3" t="s">
        <v>1369</v>
      </c>
      <c r="B1348" s="3" t="s">
        <v>22</v>
      </c>
      <c r="C1348" s="3" t="s">
        <v>16</v>
      </c>
      <c r="D1348" s="3" t="str">
        <f>IFERROR(__xludf.DUMMYFUNCTION("GOOGLETRANSLATE(A1348, ""en"", ""zh-CN"")"),"嘈杂")</f>
        <v>嘈杂</v>
      </c>
    </row>
    <row r="1349" ht="15.75" customHeight="1">
      <c r="A1349" s="3" t="s">
        <v>1370</v>
      </c>
      <c r="B1349" s="3" t="s">
        <v>12</v>
      </c>
      <c r="C1349" s="3" t="s">
        <v>13</v>
      </c>
      <c r="D1349" s="3" t="str">
        <f>IFERROR(__xludf.DUMMYFUNCTION("GOOGLETRANSLATE(A1349, ""en"", ""zh-CN"")"),"遵守")</f>
        <v>遵守</v>
      </c>
    </row>
    <row r="1350" ht="15.75" customHeight="1">
      <c r="A1350" s="3" t="s">
        <v>1371</v>
      </c>
      <c r="B1350" s="3" t="s">
        <v>8</v>
      </c>
      <c r="C1350" s="3" t="s">
        <v>16</v>
      </c>
      <c r="D1350" s="3" t="str">
        <f>IFERROR(__xludf.DUMMYFUNCTION("GOOGLETRANSLATE(A1350, ""en"", ""zh-CN"")"),"油")</f>
        <v>油</v>
      </c>
    </row>
    <row r="1351" ht="15.75" customHeight="1">
      <c r="A1351" s="3" t="s">
        <v>1372</v>
      </c>
      <c r="B1351" s="3" t="s">
        <v>8</v>
      </c>
      <c r="C1351" s="3" t="s">
        <v>13</v>
      </c>
      <c r="D1351" s="3" t="str">
        <f>IFERROR(__xludf.DUMMYFUNCTION("GOOGLETRANSLATE(A1351, ""en"", ""zh-CN"")"),"器官")</f>
        <v>器官</v>
      </c>
    </row>
    <row r="1352" ht="15.75" customHeight="1">
      <c r="A1352" s="3" t="s">
        <v>1373</v>
      </c>
      <c r="B1352" s="3" t="s">
        <v>8</v>
      </c>
      <c r="C1352" s="3" t="s">
        <v>16</v>
      </c>
      <c r="D1352" s="3" t="str">
        <f>IFERROR(__xludf.DUMMYFUNCTION("GOOGLETRANSLATE(A1352, ""en"", ""zh-CN"")"),"组织")</f>
        <v>组织</v>
      </c>
    </row>
    <row r="1353" ht="15.75" customHeight="1">
      <c r="A1353" s="3" t="s">
        <v>1374</v>
      </c>
      <c r="B1353" s="3" t="s">
        <v>22</v>
      </c>
      <c r="C1353" s="3" t="s">
        <v>6</v>
      </c>
      <c r="D1353" s="3" t="str">
        <f>IFERROR(__xludf.DUMMYFUNCTION("GOOGLETRANSLATE(A1353, ""en"", ""zh-CN"")"),"老的")</f>
        <v>老的</v>
      </c>
    </row>
    <row r="1354" ht="15.75" customHeight="1">
      <c r="A1354" s="3" t="s">
        <v>1375</v>
      </c>
      <c r="B1354" s="3" t="s">
        <v>12</v>
      </c>
      <c r="C1354" s="3" t="s">
        <v>16</v>
      </c>
      <c r="D1354" s="3" t="str">
        <f>IFERROR(__xludf.DUMMYFUNCTION("GOOGLETRANSLATE(A1354, ""en"", ""zh-CN"")"),"组织")</f>
        <v>组织</v>
      </c>
    </row>
    <row r="1355" ht="15.75" customHeight="1">
      <c r="A1355" s="3" t="s">
        <v>1376</v>
      </c>
      <c r="B1355" s="3" t="s">
        <v>8</v>
      </c>
      <c r="C1355" s="3" t="s">
        <v>13</v>
      </c>
      <c r="D1355" s="3" t="str">
        <f>IFERROR(__xludf.DUMMYFUNCTION("GOOGLETRANSLATE(A1355, ""en"", ""zh-CN"")"),"义务")</f>
        <v>义务</v>
      </c>
    </row>
    <row r="1356" ht="15.75" customHeight="1">
      <c r="A1356" s="3" t="s">
        <v>1377</v>
      </c>
      <c r="B1356" s="3" t="s">
        <v>22</v>
      </c>
      <c r="C1356" s="3" t="s">
        <v>9</v>
      </c>
      <c r="D1356" s="3" t="str">
        <f>IFERROR(__xludf.DUMMYFUNCTION("GOOGLETRANSLATE(A1356, ""en"", ""zh-CN"")"),"老式")</f>
        <v>老式</v>
      </c>
    </row>
    <row r="1357" ht="15.75" customHeight="1">
      <c r="A1357" s="3" t="s">
        <v>1378</v>
      </c>
      <c r="B1357" s="3" t="s">
        <v>22</v>
      </c>
      <c r="C1357" s="3" t="s">
        <v>9</v>
      </c>
      <c r="D1357" s="3" t="str">
        <f>IFERROR(__xludf.DUMMYFUNCTION("GOOGLETRANSLATE(A1357, ""en"", ""zh-CN"")"),"有组织")</f>
        <v>有组织</v>
      </c>
    </row>
    <row r="1358" ht="15.75" customHeight="1">
      <c r="A1358" s="3" t="s">
        <v>1379</v>
      </c>
      <c r="B1358" s="3" t="s">
        <v>8</v>
      </c>
      <c r="C1358" s="3" t="s">
        <v>13</v>
      </c>
      <c r="D1358" s="3" t="str">
        <f>IFERROR(__xludf.DUMMYFUNCTION("GOOGLETRANSLATE(A1358, ""en"", ""zh-CN"")"),"观察")</f>
        <v>观察</v>
      </c>
    </row>
    <row r="1359" ht="15.75" customHeight="1">
      <c r="A1359" s="3" t="s">
        <v>1380</v>
      </c>
      <c r="B1359" s="3" t="s">
        <v>8</v>
      </c>
      <c r="C1359" s="3" t="s">
        <v>9</v>
      </c>
      <c r="D1359" s="3" t="str">
        <f>IFERROR(__xludf.DUMMYFUNCTION("GOOGLETRANSLATE(A1359, ""en"", ""zh-CN"")"),"组织者")</f>
        <v>组织者</v>
      </c>
    </row>
    <row r="1360" ht="15.75" customHeight="1">
      <c r="A1360" s="3" t="s">
        <v>1381</v>
      </c>
      <c r="B1360" s="3" t="s">
        <v>12</v>
      </c>
      <c r="C1360" s="3" t="s">
        <v>13</v>
      </c>
      <c r="D1360" s="3" t="str">
        <f>IFERROR(__xludf.DUMMYFUNCTION("GOOGLETRANSLATE(A1360, ""en"", ""zh-CN"")"),"观察")</f>
        <v>观察</v>
      </c>
    </row>
    <row r="1361" ht="15.75" customHeight="1">
      <c r="A1361" s="3" t="s">
        <v>1382</v>
      </c>
      <c r="B1361" s="3" t="s">
        <v>8</v>
      </c>
      <c r="C1361" s="3" t="s">
        <v>13</v>
      </c>
      <c r="D1361" s="3" t="str">
        <f>IFERROR(__xludf.DUMMYFUNCTION("GOOGLETRANSLATE(A1361, ""en"", ""zh-CN"")"),"起源")</f>
        <v>起源</v>
      </c>
    </row>
    <row r="1362" ht="15.75" customHeight="1">
      <c r="A1362" s="3" t="s">
        <v>1383</v>
      </c>
      <c r="B1362" s="3" t="s">
        <v>12</v>
      </c>
      <c r="C1362" s="3" t="s">
        <v>13</v>
      </c>
      <c r="D1362" s="3" t="str">
        <f>IFERROR(__xludf.DUMMYFUNCTION("GOOGLETRANSLATE(A1362, ""en"", ""zh-CN"")"),"获得")</f>
        <v>获得</v>
      </c>
    </row>
    <row r="1363" ht="15.75" customHeight="1">
      <c r="A1363" s="3" t="s">
        <v>1384</v>
      </c>
      <c r="B1363" s="3" t="s">
        <v>22</v>
      </c>
      <c r="C1363" s="3" t="s">
        <v>9</v>
      </c>
      <c r="D1363" s="3" t="str">
        <f>IFERROR(__xludf.DUMMYFUNCTION("GOOGLETRANSLATE(A1363, ""en"", ""zh-CN"")"),"明显的")</f>
        <v>明显的</v>
      </c>
    </row>
    <row r="1364" ht="15.75" customHeight="1">
      <c r="A1364" s="3" t="s">
        <v>1385</v>
      </c>
      <c r="B1364" s="3" t="s">
        <v>8</v>
      </c>
      <c r="C1364" s="3" t="s">
        <v>6</v>
      </c>
      <c r="D1364" s="3" t="str">
        <f>IFERROR(__xludf.DUMMYFUNCTION("GOOGLETRANSLATE(A1364, ""en"", ""zh-CN"")"),"洋葱")</f>
        <v>洋葱</v>
      </c>
    </row>
    <row r="1365" ht="15.75" customHeight="1">
      <c r="A1365" s="3" t="s">
        <v>1386</v>
      </c>
      <c r="B1365" s="3" t="s">
        <v>20</v>
      </c>
      <c r="C1365" s="3" t="s">
        <v>9</v>
      </c>
      <c r="D1365" s="3" t="str">
        <f>IFERROR(__xludf.DUMMYFUNCTION("GOOGLETRANSLATE(A1365, ""en"", ""zh-CN"")"),"起初")</f>
        <v>起初</v>
      </c>
    </row>
    <row r="1366" ht="15.75" customHeight="1">
      <c r="A1366" s="3" t="s">
        <v>1387</v>
      </c>
      <c r="B1366" s="3" t="s">
        <v>20</v>
      </c>
      <c r="C1366" s="3" t="s">
        <v>9</v>
      </c>
      <c r="D1366" s="3" t="str">
        <f>IFERROR(__xludf.DUMMYFUNCTION("GOOGLETRANSLATE(A1366, ""en"", ""zh-CN"")"),"明显地")</f>
        <v>明显地</v>
      </c>
    </row>
    <row r="1367" ht="15.75" customHeight="1">
      <c r="A1367" s="3" t="s">
        <v>1388</v>
      </c>
      <c r="B1367" s="3" t="s">
        <v>1389</v>
      </c>
      <c r="C1367" s="3" t="s">
        <v>6</v>
      </c>
      <c r="D1367" s="3" t="str">
        <f>IFERROR(__xludf.DUMMYFUNCTION("GOOGLETRANSLATE(A1367, ""en"", ""zh-CN"")"),"其他")</f>
        <v>其他</v>
      </c>
    </row>
    <row r="1368" ht="15.75" customHeight="1">
      <c r="A1368" s="3" t="s">
        <v>1390</v>
      </c>
      <c r="B1368" s="3" t="s">
        <v>8</v>
      </c>
      <c r="C1368" s="3" t="s">
        <v>9</v>
      </c>
      <c r="D1368" s="3" t="str">
        <f>IFERROR(__xludf.DUMMYFUNCTION("GOOGLETRANSLATE(A1368, ""en"", ""zh-CN"")"),"场合")</f>
        <v>场合</v>
      </c>
    </row>
    <row r="1369" ht="15.75" customHeight="1">
      <c r="A1369" s="3" t="s">
        <v>1391</v>
      </c>
      <c r="B1369" s="3" t="s">
        <v>20</v>
      </c>
      <c r="C1369" s="3" t="s">
        <v>13</v>
      </c>
      <c r="D1369" s="3" t="str">
        <f>IFERROR(__xludf.DUMMYFUNCTION("GOOGLETRANSLATE(A1369, ""en"", ""zh-CN"")"),"否则")</f>
        <v>否则</v>
      </c>
    </row>
    <row r="1370" ht="15.75" customHeight="1">
      <c r="A1370" s="3" t="s">
        <v>1392</v>
      </c>
      <c r="B1370" s="3" t="s">
        <v>20</v>
      </c>
      <c r="C1370" s="3" t="s">
        <v>13</v>
      </c>
      <c r="D1370" s="3" t="str">
        <f>IFERROR(__xludf.DUMMYFUNCTION("GOOGLETRANSLATE(A1370, ""en"", ""zh-CN"")"),"偶尔")</f>
        <v>偶尔</v>
      </c>
    </row>
    <row r="1371" ht="15.75" customHeight="1">
      <c r="A1371" s="3" t="s">
        <v>1393</v>
      </c>
      <c r="B1371" s="3" t="s">
        <v>88</v>
      </c>
      <c r="C1371" s="3" t="s">
        <v>16</v>
      </c>
      <c r="D1371" s="3" t="str">
        <f>IFERROR(__xludf.DUMMYFUNCTION("GOOGLETRANSLATE(A1371, ""en"", ""zh-CN"")"),"上")</f>
        <v>上</v>
      </c>
    </row>
    <row r="1372" ht="15.75" customHeight="1">
      <c r="A1372" s="3" t="s">
        <v>1394</v>
      </c>
      <c r="B1372" s="3" t="s">
        <v>12</v>
      </c>
      <c r="C1372" s="3" t="s">
        <v>9</v>
      </c>
      <c r="D1372" s="3" t="str">
        <f>IFERROR(__xludf.DUMMYFUNCTION("GOOGLETRANSLATE(A1372, ""en"", ""zh-CN"")"),"发生")</f>
        <v>发生</v>
      </c>
    </row>
    <row r="1373" ht="15.75" customHeight="1">
      <c r="A1373" s="3" t="s">
        <v>1395</v>
      </c>
      <c r="B1373" s="3" t="s">
        <v>783</v>
      </c>
      <c r="C1373" s="3" t="s">
        <v>6</v>
      </c>
      <c r="D1373" s="3" t="str">
        <f>IFERROR(__xludf.DUMMYFUNCTION("GOOGLETRANSLATE(A1373, ""en"", ""zh-CN"")"),"我们的")</f>
        <v>我们的</v>
      </c>
    </row>
    <row r="1374" ht="15.75" customHeight="1">
      <c r="A1374" s="3" t="s">
        <v>1396</v>
      </c>
      <c r="B1374" s="3" t="s">
        <v>8</v>
      </c>
      <c r="C1374" s="3" t="s">
        <v>16</v>
      </c>
      <c r="D1374" s="3" t="str">
        <f>IFERROR(__xludf.DUMMYFUNCTION("GOOGLETRANSLATE(A1374, ""en"", ""zh-CN"")"),"海洋")</f>
        <v>海洋</v>
      </c>
    </row>
    <row r="1375" ht="15.75" customHeight="1">
      <c r="A1375" s="3" t="s">
        <v>1397</v>
      </c>
      <c r="B1375" s="3" t="s">
        <v>8</v>
      </c>
      <c r="C1375" s="3" t="s">
        <v>13</v>
      </c>
      <c r="D1375" s="3" t="str">
        <f>IFERROR(__xludf.DUMMYFUNCTION("GOOGLETRANSLATE(A1375, ""en"", ""zh-CN"")"),"开场")</f>
        <v>开场</v>
      </c>
    </row>
    <row r="1376" ht="15.75" customHeight="1">
      <c r="A1376" s="3" t="s">
        <v>1398</v>
      </c>
      <c r="B1376" s="3" t="s">
        <v>146</v>
      </c>
      <c r="C1376" s="3" t="s">
        <v>9</v>
      </c>
      <c r="D1376" s="3" t="str">
        <f>IFERROR(__xludf.DUMMYFUNCTION("GOOGLETRANSLATE(A1376, ""en"", ""zh-CN"")"),"我们的")</f>
        <v>我们的</v>
      </c>
    </row>
    <row r="1377" ht="15.75" customHeight="1">
      <c r="A1377" s="3" t="s">
        <v>1399</v>
      </c>
      <c r="B1377" s="3" t="s">
        <v>20</v>
      </c>
      <c r="C1377" s="3" t="s">
        <v>6</v>
      </c>
      <c r="D1377" s="3" t="str">
        <f>IFERROR(__xludf.DUMMYFUNCTION("GOOGLETRANSLATE(A1377, ""en"", ""zh-CN"")"),"凌晨")</f>
        <v>凌晨</v>
      </c>
    </row>
    <row r="1378" ht="15.75" customHeight="1">
      <c r="A1378" s="3" t="s">
        <v>1400</v>
      </c>
      <c r="B1378" s="3" t="s">
        <v>12</v>
      </c>
      <c r="C1378" s="3" t="s">
        <v>13</v>
      </c>
      <c r="D1378" s="3" t="str">
        <f>IFERROR(__xludf.DUMMYFUNCTION("GOOGLETRANSLATE(A1378, ""en"", ""zh-CN"")"),"操作")</f>
        <v>操作</v>
      </c>
    </row>
    <row r="1379" ht="15.75" customHeight="1">
      <c r="A1379" s="3" t="s">
        <v>1401</v>
      </c>
      <c r="B1379" s="3" t="s">
        <v>146</v>
      </c>
      <c r="C1379" s="3" t="s">
        <v>16</v>
      </c>
      <c r="D1379" s="3" t="str">
        <f>IFERROR(__xludf.DUMMYFUNCTION("GOOGLETRANSLATE(A1379, ""en"", ""zh-CN"")"),"我们自己")</f>
        <v>我们自己</v>
      </c>
    </row>
    <row r="1380" ht="15.75" customHeight="1">
      <c r="A1380" s="3" t="s">
        <v>1402</v>
      </c>
      <c r="B1380" s="3" t="s">
        <v>8</v>
      </c>
      <c r="C1380" s="3" t="s">
        <v>6</v>
      </c>
      <c r="D1380" s="3" t="str">
        <f>IFERROR(__xludf.DUMMYFUNCTION("GOOGLETRANSLATE(A1380, ""en"", ""zh-CN"")"),"十月")</f>
        <v>十月</v>
      </c>
    </row>
    <row r="1381" ht="15.75" customHeight="1">
      <c r="A1381" s="3" t="s">
        <v>1403</v>
      </c>
      <c r="B1381" s="3" t="s">
        <v>8</v>
      </c>
      <c r="C1381" s="3" t="s">
        <v>9</v>
      </c>
      <c r="D1381" s="3" t="str">
        <f>IFERROR(__xludf.DUMMYFUNCTION("GOOGLETRANSLATE(A1381, ""en"", ""zh-CN"")"),"手术")</f>
        <v>手术</v>
      </c>
    </row>
    <row r="1382" ht="15.75" customHeight="1">
      <c r="A1382" s="3" t="s">
        <v>1404</v>
      </c>
      <c r="B1382" s="3" t="s">
        <v>1405</v>
      </c>
      <c r="C1382" s="3" t="s">
        <v>6</v>
      </c>
      <c r="D1382" s="3" t="str">
        <f>IFERROR(__xludf.DUMMYFUNCTION("GOOGLETRANSLATE(A1382, ""en"", ""zh-CN"")"),"出去")</f>
        <v>出去</v>
      </c>
    </row>
    <row r="1383" ht="15.75" customHeight="1">
      <c r="A1383" s="3" t="s">
        <v>1406</v>
      </c>
      <c r="B1383" s="3" t="s">
        <v>22</v>
      </c>
      <c r="C1383" s="3" t="s">
        <v>9</v>
      </c>
      <c r="D1383" s="3" t="str">
        <f>IFERROR(__xludf.DUMMYFUNCTION("GOOGLETRANSLATE(A1383, ""en"", ""zh-CN"")"),"奇怪的")</f>
        <v>奇怪的</v>
      </c>
    </row>
    <row r="1384" ht="15.75" customHeight="1">
      <c r="A1384" s="3" t="s">
        <v>1407</v>
      </c>
      <c r="B1384" s="3" t="s">
        <v>8</v>
      </c>
      <c r="C1384" s="3" t="s">
        <v>6</v>
      </c>
      <c r="D1384" s="3" t="str">
        <f>IFERROR(__xludf.DUMMYFUNCTION("GOOGLETRANSLATE(A1384, ""en"", ""zh-CN"")"),"观点")</f>
        <v>观点</v>
      </c>
    </row>
    <row r="1385" ht="15.75" customHeight="1">
      <c r="A1385" s="3" t="s">
        <v>1408</v>
      </c>
      <c r="B1385" s="3" t="s">
        <v>8</v>
      </c>
      <c r="C1385" s="3" t="s">
        <v>13</v>
      </c>
      <c r="D1385" s="3" t="str">
        <f>IFERROR(__xludf.DUMMYFUNCTION("GOOGLETRANSLATE(A1385, ""en"", ""zh-CN"")"),"结果")</f>
        <v>结果</v>
      </c>
    </row>
    <row r="1386" ht="15.75" customHeight="1">
      <c r="A1386" s="3" t="s">
        <v>1409</v>
      </c>
      <c r="B1386" s="3" t="s">
        <v>88</v>
      </c>
      <c r="C1386" s="3" t="s">
        <v>6</v>
      </c>
      <c r="D1386" s="3" t="str">
        <f>IFERROR(__xludf.DUMMYFUNCTION("GOOGLETRANSLATE(A1386, ""en"", ""zh-CN"")"),"的")</f>
        <v>的</v>
      </c>
    </row>
    <row r="1387" ht="15.75" customHeight="1">
      <c r="A1387" s="3" t="s">
        <v>1410</v>
      </c>
      <c r="B1387" s="3" t="s">
        <v>8</v>
      </c>
      <c r="C1387" s="3" t="s">
        <v>13</v>
      </c>
      <c r="D1387" s="3" t="str">
        <f>IFERROR(__xludf.DUMMYFUNCTION("GOOGLETRANSLATE(A1387, ""en"", ""zh-CN"")"),"对手")</f>
        <v>对手</v>
      </c>
    </row>
    <row r="1388" ht="15.75" customHeight="1">
      <c r="A1388" s="3" t="s">
        <v>1411</v>
      </c>
      <c r="B1388" s="3" t="s">
        <v>22</v>
      </c>
      <c r="C1388" s="3" t="s">
        <v>9</v>
      </c>
      <c r="D1388" s="3" t="str">
        <f>IFERROR(__xludf.DUMMYFUNCTION("GOOGLETRANSLATE(A1388, ""en"", ""zh-CN"")"),"户外的")</f>
        <v>户外的</v>
      </c>
    </row>
    <row r="1389" ht="15.75" customHeight="1">
      <c r="A1389" s="3" t="s">
        <v>1412</v>
      </c>
      <c r="B1389" s="3" t="s">
        <v>8</v>
      </c>
      <c r="C1389" s="3" t="s">
        <v>16</v>
      </c>
      <c r="D1389" s="3" t="str">
        <f>IFERROR(__xludf.DUMMYFUNCTION("GOOGLETRANSLATE(A1389, ""en"", ""zh-CN"")"),"机会")</f>
        <v>机会</v>
      </c>
    </row>
    <row r="1390" ht="15.75" customHeight="1">
      <c r="A1390" s="3" t="s">
        <v>1413</v>
      </c>
      <c r="B1390" s="3" t="s">
        <v>20</v>
      </c>
      <c r="C1390" s="3" t="s">
        <v>9</v>
      </c>
      <c r="D1390" s="3" t="str">
        <f>IFERROR(__xludf.DUMMYFUNCTION("GOOGLETRANSLATE(A1390, ""en"", ""zh-CN"")"),"户外")</f>
        <v>户外</v>
      </c>
    </row>
    <row r="1391" ht="15.75" customHeight="1">
      <c r="A1391" s="3" t="s">
        <v>1414</v>
      </c>
      <c r="B1391" s="3" t="s">
        <v>8</v>
      </c>
      <c r="C1391" s="3" t="s">
        <v>13</v>
      </c>
      <c r="D1391" s="3" t="str">
        <f>IFERROR(__xludf.DUMMYFUNCTION("GOOGLETRANSLATE(A1391, ""en"", ""zh-CN"")"),"罪行")</f>
        <v>罪行</v>
      </c>
    </row>
    <row r="1392" ht="15.75" customHeight="1">
      <c r="A1392" s="3" t="s">
        <v>1415</v>
      </c>
      <c r="B1392" s="3" t="s">
        <v>12</v>
      </c>
      <c r="C1392" s="3" t="s">
        <v>13</v>
      </c>
      <c r="D1392" s="3" t="str">
        <f>IFERROR(__xludf.DUMMYFUNCTION("GOOGLETRANSLATE(A1392, ""en"", ""zh-CN"")"),"反对")</f>
        <v>反对</v>
      </c>
    </row>
    <row r="1393" ht="15.75" customHeight="1">
      <c r="A1393" s="3" t="s">
        <v>1416</v>
      </c>
      <c r="B1393" s="3" t="s">
        <v>22</v>
      </c>
      <c r="C1393" s="3" t="s">
        <v>13</v>
      </c>
      <c r="D1393" s="3" t="str">
        <f>IFERROR(__xludf.DUMMYFUNCTION("GOOGLETRANSLATE(A1393, ""en"", ""zh-CN"")"),"外")</f>
        <v>外</v>
      </c>
    </row>
    <row r="1394" ht="15.75" customHeight="1">
      <c r="A1394" s="3" t="s">
        <v>1417</v>
      </c>
      <c r="B1394" s="3" t="s">
        <v>12</v>
      </c>
      <c r="C1394" s="3" t="s">
        <v>13</v>
      </c>
      <c r="D1394" s="3" t="str">
        <f>IFERROR(__xludf.DUMMYFUNCTION("GOOGLETRANSLATE(A1394, ""en"", ""zh-CN"")"),"得罪")</f>
        <v>得罪</v>
      </c>
    </row>
    <row r="1395" ht="15.75" customHeight="1">
      <c r="A1395" s="3" t="s">
        <v>1418</v>
      </c>
      <c r="B1395" s="3" t="s">
        <v>22</v>
      </c>
      <c r="C1395" s="3" t="s">
        <v>13</v>
      </c>
      <c r="D1395" s="3" t="str">
        <f>IFERROR(__xludf.DUMMYFUNCTION("GOOGLETRANSLATE(A1395, ""en"", ""zh-CN"")"),"反对")</f>
        <v>反对</v>
      </c>
    </row>
    <row r="1396" ht="15.75" customHeight="1">
      <c r="A1396" s="3" t="s">
        <v>1419</v>
      </c>
      <c r="B1396" s="3" t="s">
        <v>22</v>
      </c>
      <c r="C1396" s="3" t="s">
        <v>13</v>
      </c>
      <c r="D1396" s="3" t="str">
        <f>IFERROR(__xludf.DUMMYFUNCTION("GOOGLETRANSLATE(A1396, ""en"", ""zh-CN"")"),"进攻")</f>
        <v>进攻</v>
      </c>
    </row>
    <row r="1397" ht="15.75" customHeight="1">
      <c r="A1397" s="3" t="s">
        <v>1420</v>
      </c>
      <c r="B1397" s="3" t="s">
        <v>8</v>
      </c>
      <c r="C1397" s="3" t="s">
        <v>13</v>
      </c>
      <c r="D1397" s="3" t="str">
        <f>IFERROR(__xludf.DUMMYFUNCTION("GOOGLETRANSLATE(A1397, ""en"", ""zh-CN"")"),"反对")</f>
        <v>反对</v>
      </c>
    </row>
    <row r="1398" ht="15.75" customHeight="1">
      <c r="A1398" s="3" t="s">
        <v>1421</v>
      </c>
      <c r="B1398" s="3" t="s">
        <v>8</v>
      </c>
      <c r="C1398" s="3" t="s">
        <v>16</v>
      </c>
      <c r="D1398" s="3" t="str">
        <f>IFERROR(__xludf.DUMMYFUNCTION("GOOGLETRANSLATE(A1398, ""en"", ""zh-CN"")"),"烤箱")</f>
        <v>烤箱</v>
      </c>
    </row>
    <row r="1399" ht="15.75" customHeight="1">
      <c r="A1399" s="3" t="s">
        <v>1422</v>
      </c>
      <c r="B1399" s="3" t="s">
        <v>8</v>
      </c>
      <c r="C1399" s="3" t="s">
        <v>6</v>
      </c>
      <c r="D1399" s="3" t="str">
        <f>IFERROR(__xludf.DUMMYFUNCTION("GOOGLETRANSLATE(A1399, ""en"", ""zh-CN"")"),"办公室")</f>
        <v>办公室</v>
      </c>
    </row>
    <row r="1400" ht="15.75" customHeight="1">
      <c r="A1400" s="3" t="s">
        <v>1423</v>
      </c>
      <c r="B1400" s="3" t="s">
        <v>8</v>
      </c>
      <c r="C1400" s="3" t="s">
        <v>16</v>
      </c>
      <c r="D1400" s="3" t="str">
        <f>IFERROR(__xludf.DUMMYFUNCTION("GOOGLETRANSLATE(A1400, ""en"", ""zh-CN"")"),"选项")</f>
        <v>选项</v>
      </c>
    </row>
    <row r="1401" ht="15.75" customHeight="1">
      <c r="A1401" s="3" t="s">
        <v>1424</v>
      </c>
      <c r="B1401" s="3" t="s">
        <v>8</v>
      </c>
      <c r="C1401" s="3" t="s">
        <v>16</v>
      </c>
      <c r="D1401" s="3" t="str">
        <f>IFERROR(__xludf.DUMMYFUNCTION("GOOGLETRANSLATE(A1401, ""en"", ""zh-CN"")"),"官")</f>
        <v>官</v>
      </c>
    </row>
    <row r="1402" ht="15.75" customHeight="1">
      <c r="A1402" s="3" t="s">
        <v>1425</v>
      </c>
      <c r="B1402" s="3" t="s">
        <v>72</v>
      </c>
      <c r="C1402" s="3" t="s">
        <v>6</v>
      </c>
      <c r="D1402" s="3" t="str">
        <f>IFERROR(__xludf.DUMMYFUNCTION("GOOGLETRANSLATE(A1402, ""en"", ""zh-CN"")"),"或者")</f>
        <v>或者</v>
      </c>
    </row>
    <row r="1403" ht="15.75" customHeight="1">
      <c r="A1403" s="3" t="s">
        <v>1426</v>
      </c>
      <c r="B1403" s="3" t="s">
        <v>12</v>
      </c>
      <c r="C1403" s="3" t="s">
        <v>13</v>
      </c>
      <c r="D1403" s="3" t="str">
        <f>IFERROR(__xludf.DUMMYFUNCTION("GOOGLETRANSLATE(A1403, ""en"", ""zh-CN"")"),"欠")</f>
        <v>欠</v>
      </c>
    </row>
    <row r="1404" ht="15.75" customHeight="1">
      <c r="A1404" s="3" t="s">
        <v>1427</v>
      </c>
      <c r="B1404" s="3" t="s">
        <v>20</v>
      </c>
      <c r="C1404" s="3" t="s">
        <v>6</v>
      </c>
      <c r="D1404" s="3" t="str">
        <f>IFERROR(__xludf.DUMMYFUNCTION("GOOGLETRANSLATE(A1404, ""en"", ""zh-CN"")"),"经常")</f>
        <v>经常</v>
      </c>
    </row>
    <row r="1405" ht="15.75" customHeight="1">
      <c r="A1405" s="3" t="s">
        <v>1428</v>
      </c>
      <c r="B1405" s="3" t="s">
        <v>15</v>
      </c>
      <c r="C1405" s="3" t="s">
        <v>6</v>
      </c>
      <c r="D1405" s="3" t="str">
        <f>IFERROR(__xludf.DUMMYFUNCTION("GOOGLETRANSLATE(A1405, ""en"", ""zh-CN"")"),"哦")</f>
        <v>哦</v>
      </c>
    </row>
    <row r="1406" ht="15.75" customHeight="1">
      <c r="A1406" s="3" t="s">
        <v>1429</v>
      </c>
      <c r="B1406" s="3" t="s">
        <v>22</v>
      </c>
      <c r="C1406" s="3" t="s">
        <v>16</v>
      </c>
      <c r="D1406" s="3" t="str">
        <f>IFERROR(__xludf.DUMMYFUNCTION("GOOGLETRANSLATE(A1406, ""en"", ""zh-CN"")"),"普通的")</f>
        <v>普通的</v>
      </c>
    </row>
    <row r="1407" ht="15.75" customHeight="1">
      <c r="A1407" s="3" t="s">
        <v>1430</v>
      </c>
      <c r="B1407" s="3" t="s">
        <v>8</v>
      </c>
      <c r="C1407" s="3" t="s">
        <v>16</v>
      </c>
      <c r="D1407" s="3" t="str">
        <f>IFERROR(__xludf.DUMMYFUNCTION("GOOGLETRANSLATE(A1407, ""en"", ""zh-CN"")"),"所有者")</f>
        <v>所有者</v>
      </c>
    </row>
    <row r="1408" ht="15.75" customHeight="1">
      <c r="A1408" s="3" t="s">
        <v>1431</v>
      </c>
      <c r="B1408" s="3" t="s">
        <v>8</v>
      </c>
      <c r="C1408" s="3" t="s">
        <v>13</v>
      </c>
      <c r="D1408" s="3" t="str">
        <f>IFERROR(__xludf.DUMMYFUNCTION("GOOGLETRANSLATE(A1408, ""en"", ""zh-CN"")"),"准备")</f>
        <v>准备</v>
      </c>
    </row>
    <row r="1409" ht="15.75" customHeight="1">
      <c r="A1409" s="3" t="s">
        <v>1432</v>
      </c>
      <c r="B1409" s="3" t="s">
        <v>8</v>
      </c>
      <c r="C1409" s="3" t="s">
        <v>6</v>
      </c>
      <c r="D1409" s="3" t="str">
        <f>IFERROR(__xludf.DUMMYFUNCTION("GOOGLETRANSLATE(A1409, ""en"", ""zh-CN"")"),"片")</f>
        <v>片</v>
      </c>
    </row>
    <row r="1410" ht="15.75" customHeight="1">
      <c r="A1410" s="3" t="s">
        <v>1433</v>
      </c>
      <c r="B1410" s="3" t="s">
        <v>12</v>
      </c>
      <c r="C1410" s="3" t="s">
        <v>6</v>
      </c>
      <c r="D1410" s="3" t="str">
        <f>IFERROR(__xludf.DUMMYFUNCTION("GOOGLETRANSLATE(A1410, ""en"", ""zh-CN"")"),"准备")</f>
        <v>准备</v>
      </c>
    </row>
    <row r="1411" ht="15.75" customHeight="1">
      <c r="A1411" s="3" t="s">
        <v>1434</v>
      </c>
      <c r="B1411" s="3" t="s">
        <v>8</v>
      </c>
      <c r="C1411" s="3" t="s">
        <v>6</v>
      </c>
      <c r="D1411" s="3" t="str">
        <f>IFERROR(__xludf.DUMMYFUNCTION("GOOGLETRANSLATE(A1411, ""en"", ""zh-CN"")"),"猪")</f>
        <v>猪</v>
      </c>
    </row>
    <row r="1412" ht="15.75" customHeight="1">
      <c r="A1412" s="3" t="s">
        <v>1435</v>
      </c>
      <c r="B1412" s="3" t="s">
        <v>22</v>
      </c>
      <c r="C1412" s="3" t="s">
        <v>9</v>
      </c>
      <c r="D1412" s="3" t="str">
        <f>IFERROR(__xludf.DUMMYFUNCTION("GOOGLETRANSLATE(A1412, ""en"", ""zh-CN"")"),"准备")</f>
        <v>准备</v>
      </c>
    </row>
    <row r="1413" ht="15.75" customHeight="1">
      <c r="A1413" s="3" t="s">
        <v>1436</v>
      </c>
      <c r="B1413" s="3" t="s">
        <v>8</v>
      </c>
      <c r="C1413" s="3" t="s">
        <v>6</v>
      </c>
      <c r="D1413" s="3" t="str">
        <f>IFERROR(__xludf.DUMMYFUNCTION("GOOGLETRANSLATE(A1413, ""en"", ""zh-CN"")"),"页")</f>
        <v>页</v>
      </c>
    </row>
    <row r="1414" ht="15.75" customHeight="1">
      <c r="A1414" s="3" t="s">
        <v>1437</v>
      </c>
      <c r="B1414" s="3" t="s">
        <v>8</v>
      </c>
      <c r="C1414" s="3" t="s">
        <v>13</v>
      </c>
      <c r="D1414" s="3" t="str">
        <f>IFERROR(__xludf.DUMMYFUNCTION("GOOGLETRANSLATE(A1414, ""en"", ""zh-CN"")"),"在场")</f>
        <v>在场</v>
      </c>
    </row>
    <row r="1415" ht="15.75" customHeight="1">
      <c r="A1415" s="3" t="s">
        <v>1438</v>
      </c>
      <c r="B1415" s="3" t="s">
        <v>8</v>
      </c>
      <c r="C1415" s="3" t="s">
        <v>16</v>
      </c>
      <c r="D1415" s="3" t="str">
        <f>IFERROR(__xludf.DUMMYFUNCTION("GOOGLETRANSLATE(A1415, ""en"", ""zh-CN"")"),"疼痛")</f>
        <v>疼痛</v>
      </c>
    </row>
    <row r="1416" ht="15.75" customHeight="1">
      <c r="A1416" s="3" t="s">
        <v>1439</v>
      </c>
      <c r="B1416" s="3" t="s">
        <v>8</v>
      </c>
      <c r="C1416" s="3" t="s">
        <v>16</v>
      </c>
      <c r="D1416" s="3" t="str">
        <f>IFERROR(__xludf.DUMMYFUNCTION("GOOGLETRANSLATE(A1416, ""en"", ""zh-CN"")"),"飞行员")</f>
        <v>飞行员</v>
      </c>
    </row>
    <row r="1417" ht="15.75" customHeight="1">
      <c r="A1417" s="3" t="s">
        <v>1440</v>
      </c>
      <c r="B1417" s="3" t="s">
        <v>22</v>
      </c>
      <c r="C1417" s="3" t="s">
        <v>9</v>
      </c>
      <c r="D1417" s="3" t="str">
        <f>IFERROR(__xludf.DUMMYFUNCTION("GOOGLETRANSLATE(A1417, ""en"", ""zh-CN"")"),"痛苦")</f>
        <v>痛苦</v>
      </c>
    </row>
    <row r="1418" ht="15.75" customHeight="1">
      <c r="A1418" s="3" t="s">
        <v>1441</v>
      </c>
      <c r="B1418" s="3" t="s">
        <v>8</v>
      </c>
      <c r="C1418" s="3" t="s">
        <v>9</v>
      </c>
      <c r="D1418" s="3" t="str">
        <f>IFERROR(__xludf.DUMMYFUNCTION("GOOGLETRANSLATE(A1418, ""en"", ""zh-CN"")"),"推介会")</f>
        <v>推介会</v>
      </c>
    </row>
    <row r="1419" ht="15.75" customHeight="1">
      <c r="A1419" s="3" t="s">
        <v>1442</v>
      </c>
      <c r="B1419" s="3" t="s">
        <v>12</v>
      </c>
      <c r="C1419" s="3" t="s">
        <v>13</v>
      </c>
      <c r="D1419" s="3" t="str">
        <f>IFERROR(__xludf.DUMMYFUNCTION("GOOGLETRANSLATE(A1419, ""en"", ""zh-CN"")"),"保存")</f>
        <v>保存</v>
      </c>
    </row>
    <row r="1420" ht="15.75" customHeight="1">
      <c r="A1420" s="3" t="s">
        <v>1443</v>
      </c>
      <c r="B1420" s="3" t="s">
        <v>8</v>
      </c>
      <c r="C1420" s="3" t="s">
        <v>16</v>
      </c>
      <c r="D1420" s="3" t="str">
        <f>IFERROR(__xludf.DUMMYFUNCTION("GOOGLETRANSLATE(A1420, ""en"", ""zh-CN"")"),"画家")</f>
        <v>画家</v>
      </c>
    </row>
    <row r="1421" ht="15.75" customHeight="1">
      <c r="A1421" s="3" t="s">
        <v>1444</v>
      </c>
      <c r="B1421" s="3" t="s">
        <v>8</v>
      </c>
      <c r="C1421" s="3" t="s">
        <v>9</v>
      </c>
      <c r="D1421" s="3" t="str">
        <f>IFERROR(__xludf.DUMMYFUNCTION("GOOGLETRANSLATE(A1421, ""en"", ""zh-CN"")"),"管道")</f>
        <v>管道</v>
      </c>
    </row>
    <row r="1422" ht="15.75" customHeight="1">
      <c r="A1422" s="3" t="s">
        <v>1445</v>
      </c>
      <c r="B1422" s="3" t="s">
        <v>8</v>
      </c>
      <c r="C1422" s="3" t="s">
        <v>16</v>
      </c>
      <c r="D1422" s="3" t="str">
        <f>IFERROR(__xludf.DUMMYFUNCTION("GOOGLETRANSLATE(A1422, ""en"", ""zh-CN"")"),"总统")</f>
        <v>总统</v>
      </c>
    </row>
    <row r="1423" ht="15.75" customHeight="1">
      <c r="A1423" s="3" t="s">
        <v>1446</v>
      </c>
      <c r="B1423" s="3" t="s">
        <v>8</v>
      </c>
      <c r="C1423" s="3" t="s">
        <v>6</v>
      </c>
      <c r="D1423" s="3" t="str">
        <f>IFERROR(__xludf.DUMMYFUNCTION("GOOGLETRANSLATE(A1423, ""en"", ""zh-CN"")"),"绘画")</f>
        <v>绘画</v>
      </c>
    </row>
    <row r="1424" ht="15.75" customHeight="1">
      <c r="A1424" s="3" t="s">
        <v>1447</v>
      </c>
      <c r="B1424" s="3" t="s">
        <v>8</v>
      </c>
      <c r="C1424" s="3" t="s">
        <v>6</v>
      </c>
      <c r="D1424" s="3" t="str">
        <f>IFERROR(__xludf.DUMMYFUNCTION("GOOGLETRANSLATE(A1424, ""en"", ""zh-CN"")"),"一对")</f>
        <v>一对</v>
      </c>
    </row>
    <row r="1425" ht="15.75" customHeight="1">
      <c r="A1425" s="3" t="s">
        <v>1448</v>
      </c>
      <c r="B1425" s="3" t="s">
        <v>8</v>
      </c>
      <c r="C1425" s="3" t="s">
        <v>9</v>
      </c>
      <c r="D1425" s="3" t="str">
        <f>IFERROR(__xludf.DUMMYFUNCTION("GOOGLETRANSLATE(A1425, ""en"", ""zh-CN"")"),"压力")</f>
        <v>压力</v>
      </c>
    </row>
    <row r="1426" ht="15.75" customHeight="1">
      <c r="A1426" s="3" t="s">
        <v>1449</v>
      </c>
      <c r="B1426" s="3" t="s">
        <v>8</v>
      </c>
      <c r="C1426" s="3" t="s">
        <v>16</v>
      </c>
      <c r="D1426" s="3" t="str">
        <f>IFERROR(__xludf.DUMMYFUNCTION("GOOGLETRANSLATE(A1426, ""en"", ""zh-CN"")"),"宫")</f>
        <v>宫</v>
      </c>
    </row>
    <row r="1427" ht="15.75" customHeight="1">
      <c r="A1427" s="3" t="s">
        <v>1450</v>
      </c>
      <c r="B1427" s="3" t="s">
        <v>22</v>
      </c>
      <c r="C1427" s="3" t="s">
        <v>13</v>
      </c>
      <c r="D1427" s="3" t="str">
        <f>IFERROR(__xludf.DUMMYFUNCTION("GOOGLETRANSLATE(A1427, ""en"", ""zh-CN"")"),"清楚的")</f>
        <v>清楚的</v>
      </c>
    </row>
    <row r="1428" ht="15.75" customHeight="1">
      <c r="A1428" s="3" t="s">
        <v>1451</v>
      </c>
      <c r="B1428" s="3" t="s">
        <v>12</v>
      </c>
      <c r="C1428" s="3" t="s">
        <v>9</v>
      </c>
      <c r="D1428" s="3" t="str">
        <f>IFERROR(__xludf.DUMMYFUNCTION("GOOGLETRANSLATE(A1428, ""en"", ""zh-CN"")"),"假装")</f>
        <v>假装</v>
      </c>
    </row>
    <row r="1429" ht="15.75" customHeight="1">
      <c r="A1429" s="3" t="s">
        <v>1452</v>
      </c>
      <c r="B1429" s="3" t="s">
        <v>22</v>
      </c>
      <c r="C1429" s="3" t="s">
        <v>9</v>
      </c>
      <c r="D1429" s="3" t="str">
        <f>IFERROR(__xludf.DUMMYFUNCTION("GOOGLETRANSLATE(A1429, ""en"", ""zh-CN"")"),"苍白")</f>
        <v>苍白</v>
      </c>
    </row>
    <row r="1430" ht="15.75" customHeight="1">
      <c r="A1430" s="3" t="s">
        <v>1453</v>
      </c>
      <c r="B1430" s="3" t="s">
        <v>8</v>
      </c>
      <c r="C1430" s="3" t="s">
        <v>9</v>
      </c>
      <c r="D1430" s="3" t="str">
        <f>IFERROR(__xludf.DUMMYFUNCTION("GOOGLETRANSLATE(A1430, ""en"", ""zh-CN"")"),"平底锅")</f>
        <v>平底锅</v>
      </c>
    </row>
    <row r="1431" ht="15.75" customHeight="1">
      <c r="A1431" s="3" t="s">
        <v>1454</v>
      </c>
      <c r="B1431" s="3" t="s">
        <v>8</v>
      </c>
      <c r="C1431" s="3" t="s">
        <v>6</v>
      </c>
      <c r="D1431" s="3" t="str">
        <f>IFERROR(__xludf.DUMMYFUNCTION("GOOGLETRANSLATE(A1431, ""en"", ""zh-CN"")"),"飞机")</f>
        <v>飞机</v>
      </c>
    </row>
    <row r="1432" ht="15.75" customHeight="1">
      <c r="A1432" s="3" t="s">
        <v>1455</v>
      </c>
      <c r="B1432" s="3" t="s">
        <v>12</v>
      </c>
      <c r="C1432" s="3" t="s">
        <v>16</v>
      </c>
      <c r="D1432" s="3" t="str">
        <f>IFERROR(__xludf.DUMMYFUNCTION("GOOGLETRANSLATE(A1432, ""en"", ""zh-CN"")"),"防止")</f>
        <v>防止</v>
      </c>
    </row>
    <row r="1433" ht="15.75" customHeight="1">
      <c r="A1433" s="3" t="s">
        <v>1456</v>
      </c>
      <c r="B1433" s="3" t="s">
        <v>8</v>
      </c>
      <c r="C1433" s="3" t="s">
        <v>13</v>
      </c>
      <c r="D1433" s="3" t="str">
        <f>IFERROR(__xludf.DUMMYFUNCTION("GOOGLETRANSLATE(A1433, ""en"", ""zh-CN"")"),"控制板")</f>
        <v>控制板</v>
      </c>
    </row>
    <row r="1434" ht="15.75" customHeight="1">
      <c r="A1434" s="3" t="s">
        <v>1457</v>
      </c>
      <c r="B1434" s="3" t="s">
        <v>8</v>
      </c>
      <c r="C1434" s="3" t="s">
        <v>16</v>
      </c>
      <c r="D1434" s="3" t="str">
        <f>IFERROR(__xludf.DUMMYFUNCTION("GOOGLETRANSLATE(A1434, ""en"", ""zh-CN"")"),"行星")</f>
        <v>行星</v>
      </c>
    </row>
    <row r="1435" ht="15.75" customHeight="1">
      <c r="A1435" s="3" t="s">
        <v>1458</v>
      </c>
      <c r="B1435" s="3" t="s">
        <v>22</v>
      </c>
      <c r="C1435" s="3" t="s">
        <v>9</v>
      </c>
      <c r="D1435" s="3" t="str">
        <f>IFERROR(__xludf.DUMMYFUNCTION("GOOGLETRANSLATE(A1435, ""en"", ""zh-CN"")"),"以前的")</f>
        <v>以前的</v>
      </c>
    </row>
    <row r="1436" ht="15.75" customHeight="1">
      <c r="A1436" s="3" t="s">
        <v>1459</v>
      </c>
      <c r="B1436" s="3" t="s">
        <v>8</v>
      </c>
      <c r="C1436" s="3" t="s">
        <v>16</v>
      </c>
      <c r="D1436" s="3" t="str">
        <f>IFERROR(__xludf.DUMMYFUNCTION("GOOGLETRANSLATE(A1436, ""en"", ""zh-CN"")"),"裤子")</f>
        <v>裤子</v>
      </c>
    </row>
    <row r="1437" ht="15.75" customHeight="1">
      <c r="A1437" s="3" t="s">
        <v>1460</v>
      </c>
      <c r="B1437" s="3" t="s">
        <v>8</v>
      </c>
      <c r="C1437" s="3" t="s">
        <v>9</v>
      </c>
      <c r="D1437" s="3" t="str">
        <f>IFERROR(__xludf.DUMMYFUNCTION("GOOGLETRANSLATE(A1437, ""en"", ""zh-CN"")"),"规划")</f>
        <v>规划</v>
      </c>
    </row>
    <row r="1438" ht="15.75" customHeight="1">
      <c r="A1438" s="3" t="s">
        <v>1461</v>
      </c>
      <c r="B1438" s="3" t="s">
        <v>20</v>
      </c>
      <c r="C1438" s="3" t="s">
        <v>9</v>
      </c>
      <c r="D1438" s="3" t="str">
        <f>IFERROR(__xludf.DUMMYFUNCTION("GOOGLETRANSLATE(A1438, ""en"", ""zh-CN"")"),"之前")</f>
        <v>之前</v>
      </c>
    </row>
    <row r="1439" ht="15.75" customHeight="1">
      <c r="A1439" s="3" t="s">
        <v>1462</v>
      </c>
      <c r="B1439" s="3" t="s">
        <v>8</v>
      </c>
      <c r="C1439" s="3" t="s">
        <v>6</v>
      </c>
      <c r="D1439" s="3" t="str">
        <f>IFERROR(__xludf.DUMMYFUNCTION("GOOGLETRANSLATE(A1439, ""en"", ""zh-CN"")"),"纸")</f>
        <v>纸</v>
      </c>
    </row>
    <row r="1440" ht="15.75" customHeight="1">
      <c r="A1440" s="3" t="s">
        <v>1463</v>
      </c>
      <c r="B1440" s="3" t="s">
        <v>8</v>
      </c>
      <c r="C1440" s="3" t="s">
        <v>6</v>
      </c>
      <c r="D1440" s="3" t="str">
        <f>IFERROR(__xludf.DUMMYFUNCTION("GOOGLETRANSLATE(A1440, ""en"", ""zh-CN"")"),"段落")</f>
        <v>段落</v>
      </c>
    </row>
    <row r="1441" ht="15.75" customHeight="1">
      <c r="A1441" s="3" t="s">
        <v>1464</v>
      </c>
      <c r="B1441" s="3" t="s">
        <v>8</v>
      </c>
      <c r="C1441" s="3" t="s">
        <v>9</v>
      </c>
      <c r="D1441" s="3" t="str">
        <f>IFERROR(__xludf.DUMMYFUNCTION("GOOGLETRANSLATE(A1441, ""en"", ""zh-CN"")"),"牧师")</f>
        <v>牧师</v>
      </c>
    </row>
    <row r="1442" ht="15.75" customHeight="1">
      <c r="A1442" s="3" t="s">
        <v>1465</v>
      </c>
      <c r="B1442" s="3" t="s">
        <v>8</v>
      </c>
      <c r="C1442" s="3" t="s">
        <v>6</v>
      </c>
      <c r="D1442" s="3" t="str">
        <f>IFERROR(__xludf.DUMMYFUNCTION("GOOGLETRANSLATE(A1442, ""en"", ""zh-CN"")"),"父母")</f>
        <v>父母</v>
      </c>
    </row>
    <row r="1443" ht="15.75" customHeight="1">
      <c r="A1443" s="3" t="s">
        <v>1466</v>
      </c>
      <c r="B1443" s="3" t="s">
        <v>8</v>
      </c>
      <c r="C1443" s="3" t="s">
        <v>16</v>
      </c>
      <c r="D1443" s="3" t="str">
        <f>IFERROR(__xludf.DUMMYFUNCTION("GOOGLETRANSLATE(A1443, ""en"", ""zh-CN"")"),"盘子")</f>
        <v>盘子</v>
      </c>
    </row>
    <row r="1444" ht="15.75" customHeight="1">
      <c r="A1444" s="3" t="s">
        <v>1467</v>
      </c>
      <c r="B1444" s="3" t="s">
        <v>22</v>
      </c>
      <c r="C1444" s="3" t="s">
        <v>9</v>
      </c>
      <c r="D1444" s="3" t="str">
        <f>IFERROR(__xludf.DUMMYFUNCTION("GOOGLETRANSLATE(A1444, ""en"", ""zh-CN"")"),"基本的")</f>
        <v>基本的</v>
      </c>
    </row>
    <row r="1445" ht="15.75" customHeight="1">
      <c r="A1445" s="3" t="s">
        <v>1468</v>
      </c>
      <c r="B1445" s="3" t="s">
        <v>8</v>
      </c>
      <c r="C1445" s="3" t="s">
        <v>16</v>
      </c>
      <c r="D1445" s="3" t="str">
        <f>IFERROR(__xludf.DUMMYFUNCTION("GOOGLETRANSLATE(A1445, ""en"", ""zh-CN"")"),"平台")</f>
        <v>平台</v>
      </c>
    </row>
    <row r="1446" ht="15.75" customHeight="1">
      <c r="A1446" s="3" t="s">
        <v>1469</v>
      </c>
      <c r="B1446" s="3" t="s">
        <v>22</v>
      </c>
      <c r="C1446" s="3" t="s">
        <v>13</v>
      </c>
      <c r="D1446" s="3" t="str">
        <f>IFERROR(__xludf.DUMMYFUNCTION("GOOGLETRANSLATE(A1446, ""en"", ""zh-CN"")"),"主要的")</f>
        <v>主要的</v>
      </c>
    </row>
    <row r="1447" ht="15.75" customHeight="1">
      <c r="A1447" s="3" t="s">
        <v>1470</v>
      </c>
      <c r="B1447" s="3" t="s">
        <v>8</v>
      </c>
      <c r="C1447" s="3" t="s">
        <v>16</v>
      </c>
      <c r="D1447" s="3" t="str">
        <f>IFERROR(__xludf.DUMMYFUNCTION("GOOGLETRANSLATE(A1447, ""en"", ""zh-CN"")"),"停車處")</f>
        <v>停車處</v>
      </c>
    </row>
    <row r="1448" ht="15.75" customHeight="1">
      <c r="A1448" s="3" t="s">
        <v>1471</v>
      </c>
      <c r="B1448" s="3" t="s">
        <v>8</v>
      </c>
      <c r="C1448" s="3" t="s">
        <v>9</v>
      </c>
      <c r="D1448" s="3" t="str">
        <f>IFERROR(__xludf.DUMMYFUNCTION("GOOGLETRANSLATE(A1448, ""en"", ""zh-CN"")"),"王子")</f>
        <v>王子</v>
      </c>
    </row>
    <row r="1449" ht="15.75" customHeight="1">
      <c r="A1449" s="3" t="s">
        <v>1472</v>
      </c>
      <c r="B1449" s="3" t="s">
        <v>8</v>
      </c>
      <c r="C1449" s="3" t="s">
        <v>13</v>
      </c>
      <c r="D1449" s="3" t="str">
        <f>IFERROR(__xludf.DUMMYFUNCTION("GOOGLETRANSLATE(A1449, ""en"", ""zh-CN"")"),"议会")</f>
        <v>议会</v>
      </c>
    </row>
    <row r="1450" ht="15.75" customHeight="1">
      <c r="A1450" s="3" t="s">
        <v>1473</v>
      </c>
      <c r="B1450" s="3" t="s">
        <v>8</v>
      </c>
      <c r="C1450" s="3" t="s">
        <v>6</v>
      </c>
      <c r="D1450" s="3" t="str">
        <f>IFERROR(__xludf.DUMMYFUNCTION("GOOGLETRANSLATE(A1450, ""en"", ""zh-CN"")"),"球员")</f>
        <v>球员</v>
      </c>
    </row>
    <row r="1451" ht="15.75" customHeight="1">
      <c r="A1451" s="3" t="s">
        <v>1474</v>
      </c>
      <c r="B1451" s="3" t="s">
        <v>8</v>
      </c>
      <c r="C1451" s="3" t="s">
        <v>9</v>
      </c>
      <c r="D1451" s="3" t="str">
        <f>IFERROR(__xludf.DUMMYFUNCTION("GOOGLETRANSLATE(A1451, ""en"", ""zh-CN"")"),"公主")</f>
        <v>公主</v>
      </c>
    </row>
    <row r="1452" ht="15.75" customHeight="1">
      <c r="A1452" s="3" t="s">
        <v>1475</v>
      </c>
      <c r="B1452" s="3" t="s">
        <v>8</v>
      </c>
      <c r="C1452" s="3" t="s">
        <v>6</v>
      </c>
      <c r="D1452" s="3" t="str">
        <f>IFERROR(__xludf.DUMMYFUNCTION("GOOGLETRANSLATE(A1452, ""en"", ""zh-CN"")"),"部分")</f>
        <v>部分</v>
      </c>
    </row>
    <row r="1453" ht="15.75" customHeight="1">
      <c r="A1453" s="3" t="s">
        <v>1476</v>
      </c>
      <c r="B1453" s="3" t="s">
        <v>22</v>
      </c>
      <c r="C1453" s="3" t="s">
        <v>9</v>
      </c>
      <c r="D1453" s="3" t="str">
        <f>IFERROR(__xludf.DUMMYFUNCTION("GOOGLETRANSLATE(A1453, ""en"", ""zh-CN"")"),"令人愉快的")</f>
        <v>令人愉快的</v>
      </c>
    </row>
    <row r="1454" ht="15.75" customHeight="1">
      <c r="A1454" s="3" t="s">
        <v>1477</v>
      </c>
      <c r="B1454" s="3" t="s">
        <v>8</v>
      </c>
      <c r="C1454" s="3" t="s">
        <v>13</v>
      </c>
      <c r="D1454" s="3" t="str">
        <f>IFERROR(__xludf.DUMMYFUNCTION("GOOGLETRANSLATE(A1454, ""en"", ""zh-CN"")"),"原则")</f>
        <v>原则</v>
      </c>
    </row>
    <row r="1455" ht="15.75" customHeight="1">
      <c r="A1455" s="3" t="s">
        <v>1478</v>
      </c>
      <c r="B1455" s="3" t="s">
        <v>8</v>
      </c>
      <c r="C1455" s="3" t="s">
        <v>13</v>
      </c>
      <c r="D1455" s="3" t="str">
        <f>IFERROR(__xludf.DUMMYFUNCTION("GOOGLETRANSLATE(A1455, ""en"", ""zh-CN"")"),"参与者")</f>
        <v>参与者</v>
      </c>
    </row>
    <row r="1456" ht="15.75" customHeight="1">
      <c r="A1456" s="3" t="s">
        <v>1479</v>
      </c>
      <c r="B1456" s="3" t="s">
        <v>12</v>
      </c>
      <c r="C1456" s="3" t="s">
        <v>9</v>
      </c>
      <c r="D1456" s="3" t="str">
        <f>IFERROR(__xludf.DUMMYFUNCTION("GOOGLETRANSLATE(A1456, ""en"", ""zh-CN"")"),"参加")</f>
        <v>参加</v>
      </c>
    </row>
    <row r="1457" ht="15.75" customHeight="1">
      <c r="A1457" s="3" t="s">
        <v>1480</v>
      </c>
      <c r="B1457" s="3" t="s">
        <v>22</v>
      </c>
      <c r="C1457" s="3" t="s">
        <v>16</v>
      </c>
      <c r="D1457" s="3" t="str">
        <f>IFERROR(__xludf.DUMMYFUNCTION("GOOGLETRANSLATE(A1457, ""en"", ""zh-CN"")"),"很高兴")</f>
        <v>很高兴</v>
      </c>
    </row>
    <row r="1458" ht="15.75" customHeight="1">
      <c r="A1458" s="3" t="s">
        <v>1481</v>
      </c>
      <c r="B1458" s="3" t="s">
        <v>8</v>
      </c>
      <c r="C1458" s="3" t="s">
        <v>16</v>
      </c>
      <c r="D1458" s="3" t="str">
        <f>IFERROR(__xludf.DUMMYFUNCTION("GOOGLETRANSLATE(A1458, ""en"", ""zh-CN"")"),"打印机")</f>
        <v>打印机</v>
      </c>
    </row>
    <row r="1459" ht="15.75" customHeight="1">
      <c r="A1459" s="3" t="s">
        <v>1482</v>
      </c>
      <c r="B1459" s="3" t="s">
        <v>22</v>
      </c>
      <c r="C1459" s="3" t="s">
        <v>16</v>
      </c>
      <c r="D1459" s="3" t="str">
        <f>IFERROR(__xludf.DUMMYFUNCTION("GOOGLETRANSLATE(A1459, ""en"", ""zh-CN"")"),"特别的")</f>
        <v>特别的</v>
      </c>
    </row>
    <row r="1460" ht="15.75" customHeight="1">
      <c r="A1460" s="3" t="s">
        <v>1483</v>
      </c>
      <c r="B1460" s="3" t="s">
        <v>8</v>
      </c>
      <c r="C1460" s="3" t="s">
        <v>9</v>
      </c>
      <c r="D1460" s="3" t="str">
        <f>IFERROR(__xludf.DUMMYFUNCTION("GOOGLETRANSLATE(A1460, ""en"", ""zh-CN"")"),"乐趣")</f>
        <v>乐趣</v>
      </c>
    </row>
    <row r="1461" ht="15.75" customHeight="1">
      <c r="A1461" s="3" t="s">
        <v>1484</v>
      </c>
      <c r="B1461" s="3" t="s">
        <v>8</v>
      </c>
      <c r="C1461" s="3" t="s">
        <v>9</v>
      </c>
      <c r="D1461" s="3" t="str">
        <f>IFERROR(__xludf.DUMMYFUNCTION("GOOGLETRANSLATE(A1461, ""en"", ""zh-CN"")"),"印刷")</f>
        <v>印刷</v>
      </c>
    </row>
    <row r="1462" ht="15.75" customHeight="1">
      <c r="A1462" s="3" t="s">
        <v>1485</v>
      </c>
      <c r="B1462" s="3" t="s">
        <v>20</v>
      </c>
      <c r="C1462" s="3" t="s">
        <v>9</v>
      </c>
      <c r="D1462" s="3" t="str">
        <f>IFERROR(__xludf.DUMMYFUNCTION("GOOGLETRANSLATE(A1462, ""en"", ""zh-CN"")"),"特别")</f>
        <v>特别</v>
      </c>
    </row>
    <row r="1463" ht="15.75" customHeight="1">
      <c r="A1463" s="3" t="s">
        <v>1486</v>
      </c>
      <c r="B1463" s="3" t="s">
        <v>146</v>
      </c>
      <c r="C1463" s="3" t="s">
        <v>9</v>
      </c>
      <c r="D1463" s="3" t="str">
        <f>IFERROR(__xludf.DUMMYFUNCTION("GOOGLETRANSLATE(A1463, ""en"", ""zh-CN"")"),"很多")</f>
        <v>很多</v>
      </c>
    </row>
    <row r="1464" ht="15.75" customHeight="1">
      <c r="A1464" s="3" t="s">
        <v>1487</v>
      </c>
      <c r="B1464" s="3" t="s">
        <v>8</v>
      </c>
      <c r="C1464" s="3" t="s">
        <v>13</v>
      </c>
      <c r="D1464" s="3" t="str">
        <f>IFERROR(__xludf.DUMMYFUNCTION("GOOGLETRANSLATE(A1464, ""en"", ""zh-CN"")"),"优先事项")</f>
        <v>优先事项</v>
      </c>
    </row>
    <row r="1465" ht="15.75" customHeight="1">
      <c r="A1465" s="3" t="s">
        <v>1488</v>
      </c>
      <c r="B1465" s="3" t="s">
        <v>20</v>
      </c>
      <c r="C1465" s="3" t="s">
        <v>13</v>
      </c>
      <c r="D1465" s="3" t="str">
        <f>IFERROR(__xludf.DUMMYFUNCTION("GOOGLETRANSLATE(A1465, ""en"", ""zh-CN"")"),"部分地")</f>
        <v>部分地</v>
      </c>
    </row>
    <row r="1466" ht="15.75" customHeight="1">
      <c r="A1466" s="3" t="s">
        <v>1489</v>
      </c>
      <c r="B1466" s="3" t="s">
        <v>8</v>
      </c>
      <c r="C1466" s="3" t="s">
        <v>16</v>
      </c>
      <c r="D1466" s="3" t="str">
        <f>IFERROR(__xludf.DUMMYFUNCTION("GOOGLETRANSLATE(A1466, ""en"", ""zh-CN"")"),"监狱")</f>
        <v>监狱</v>
      </c>
    </row>
    <row r="1467" ht="15.75" customHeight="1">
      <c r="A1467" s="3" t="s">
        <v>1490</v>
      </c>
      <c r="B1467" s="3" t="s">
        <v>8</v>
      </c>
      <c r="C1467" s="3" t="s">
        <v>6</v>
      </c>
      <c r="D1467" s="3" t="str">
        <f>IFERROR(__xludf.DUMMYFUNCTION("GOOGLETRANSLATE(A1467, ""en"", ""zh-CN"")"),"伙伴")</f>
        <v>伙伴</v>
      </c>
    </row>
    <row r="1468" ht="15.75" customHeight="1">
      <c r="A1468" s="3" t="s">
        <v>1491</v>
      </c>
      <c r="B1468" s="3" t="s">
        <v>8</v>
      </c>
      <c r="C1468" s="3" t="s">
        <v>9</v>
      </c>
      <c r="D1468" s="3" t="str">
        <f>IFERROR(__xludf.DUMMYFUNCTION("GOOGLETRANSLATE(A1468, ""en"", ""zh-CN"")"),"囚犯")</f>
        <v>囚犯</v>
      </c>
    </row>
    <row r="1469" ht="15.75" customHeight="1">
      <c r="A1469" s="3" t="s">
        <v>1492</v>
      </c>
      <c r="B1469" s="3" t="s">
        <v>8</v>
      </c>
      <c r="C1469" s="3" t="s">
        <v>6</v>
      </c>
      <c r="D1469" s="3" t="str">
        <f>IFERROR(__xludf.DUMMYFUNCTION("GOOGLETRANSLATE(A1469, ""en"", ""zh-CN"")"),"派对")</f>
        <v>派对</v>
      </c>
    </row>
    <row r="1470" ht="15.75" customHeight="1">
      <c r="A1470" s="3" t="s">
        <v>1493</v>
      </c>
      <c r="B1470" s="3" t="s">
        <v>8</v>
      </c>
      <c r="C1470" s="3" t="s">
        <v>16</v>
      </c>
      <c r="D1470" s="3" t="str">
        <f>IFERROR(__xludf.DUMMYFUNCTION("GOOGLETRANSLATE(A1470, ""en"", ""zh-CN"")"),"口袋")</f>
        <v>口袋</v>
      </c>
    </row>
    <row r="1471" ht="15.75" customHeight="1">
      <c r="A1471" s="3" t="s">
        <v>1494</v>
      </c>
      <c r="B1471" s="3" t="s">
        <v>8</v>
      </c>
      <c r="C1471" s="3" t="s">
        <v>13</v>
      </c>
      <c r="D1471" s="3" t="str">
        <f>IFERROR(__xludf.DUMMYFUNCTION("GOOGLETRANSLATE(A1471, ""en"", ""zh-CN"")"),"隐私")</f>
        <v>隐私</v>
      </c>
    </row>
    <row r="1472" ht="15.75" customHeight="1">
      <c r="A1472" s="3" t="s">
        <v>1495</v>
      </c>
      <c r="B1472" s="3" t="s">
        <v>8</v>
      </c>
      <c r="C1472" s="3" t="s">
        <v>9</v>
      </c>
      <c r="D1472" s="3" t="str">
        <f>IFERROR(__xludf.DUMMYFUNCTION("GOOGLETRANSLATE(A1472, ""en"", ""zh-CN"")"),"诗")</f>
        <v>诗</v>
      </c>
    </row>
    <row r="1473" ht="15.75" customHeight="1">
      <c r="A1473" s="3" t="s">
        <v>1496</v>
      </c>
      <c r="B1473" s="3" t="s">
        <v>22</v>
      </c>
      <c r="C1473" s="3" t="s">
        <v>9</v>
      </c>
      <c r="D1473" s="3" t="str">
        <f>IFERROR(__xludf.DUMMYFUNCTION("GOOGLETRANSLATE(A1473, ""en"", ""zh-CN"")"),"私人的")</f>
        <v>私人的</v>
      </c>
    </row>
    <row r="1474" ht="15.75" customHeight="1">
      <c r="A1474" s="3" t="s">
        <v>1497</v>
      </c>
      <c r="B1474" s="3" t="s">
        <v>8</v>
      </c>
      <c r="C1474" s="3" t="s">
        <v>13</v>
      </c>
      <c r="D1474" s="3" t="str">
        <f>IFERROR(__xludf.DUMMYFUNCTION("GOOGLETRANSLATE(A1474, ""en"", ""zh-CN"")"),"通道")</f>
        <v>通道</v>
      </c>
    </row>
    <row r="1475" ht="15.75" customHeight="1">
      <c r="A1475" s="3" t="s">
        <v>1498</v>
      </c>
      <c r="B1475" s="3" t="s">
        <v>8</v>
      </c>
      <c r="C1475" s="3" t="s">
        <v>9</v>
      </c>
      <c r="D1475" s="3" t="str">
        <f>IFERROR(__xludf.DUMMYFUNCTION("GOOGLETRANSLATE(A1475, ""en"", ""zh-CN"")"),"诗人")</f>
        <v>诗人</v>
      </c>
    </row>
    <row r="1476" ht="15.75" customHeight="1">
      <c r="A1476" s="3" t="s">
        <v>1499</v>
      </c>
      <c r="B1476" s="3" t="s">
        <v>8</v>
      </c>
      <c r="C1476" s="3" t="s">
        <v>16</v>
      </c>
      <c r="D1476" s="3" t="str">
        <f>IFERROR(__xludf.DUMMYFUNCTION("GOOGLETRANSLATE(A1476, ""en"", ""zh-CN"")"),"奖")</f>
        <v>奖</v>
      </c>
    </row>
    <row r="1477" ht="15.75" customHeight="1">
      <c r="A1477" s="3" t="s">
        <v>1500</v>
      </c>
      <c r="B1477" s="3" t="s">
        <v>8</v>
      </c>
      <c r="C1477" s="3" t="s">
        <v>16</v>
      </c>
      <c r="D1477" s="3" t="str">
        <f>IFERROR(__xludf.DUMMYFUNCTION("GOOGLETRANSLATE(A1477, ""en"", ""zh-CN"")"),"乘客")</f>
        <v>乘客</v>
      </c>
    </row>
    <row r="1478" ht="15.75" customHeight="1">
      <c r="A1478" s="3" t="s">
        <v>1501</v>
      </c>
      <c r="B1478" s="3" t="s">
        <v>8</v>
      </c>
      <c r="C1478" s="3" t="s">
        <v>9</v>
      </c>
      <c r="D1478" s="3" t="str">
        <f>IFERROR(__xludf.DUMMYFUNCTION("GOOGLETRANSLATE(A1478, ""en"", ""zh-CN"")"),"诗歌")</f>
        <v>诗歌</v>
      </c>
    </row>
    <row r="1479" ht="15.75" customHeight="1">
      <c r="A1479" s="3" t="s">
        <v>1502</v>
      </c>
      <c r="B1479" s="3" t="s">
        <v>20</v>
      </c>
      <c r="C1479" s="3" t="s">
        <v>6</v>
      </c>
      <c r="D1479" s="3" t="str">
        <f>IFERROR(__xludf.DUMMYFUNCTION("GOOGLETRANSLATE(A1479, ""en"", ""zh-CN"")"),"大概")</f>
        <v>大概</v>
      </c>
    </row>
    <row r="1480" ht="15.75" customHeight="1">
      <c r="A1480" s="3" t="s">
        <v>1503</v>
      </c>
      <c r="B1480" s="3" t="s">
        <v>8</v>
      </c>
      <c r="C1480" s="3" t="s">
        <v>9</v>
      </c>
      <c r="D1480" s="3" t="str">
        <f>IFERROR(__xludf.DUMMYFUNCTION("GOOGLETRANSLATE(A1480, ""en"", ""zh-CN"")"),"热情")</f>
        <v>热情</v>
      </c>
    </row>
    <row r="1481" ht="15.75" customHeight="1">
      <c r="A1481" s="3" t="s">
        <v>1504</v>
      </c>
      <c r="B1481" s="3" t="s">
        <v>8</v>
      </c>
      <c r="C1481" s="3" t="s">
        <v>6</v>
      </c>
      <c r="D1481" s="3" t="str">
        <f>IFERROR(__xludf.DUMMYFUNCTION("GOOGLETRANSLATE(A1481, ""en"", ""zh-CN"")"),"问题")</f>
        <v>问题</v>
      </c>
    </row>
    <row r="1482" ht="15.75" customHeight="1">
      <c r="A1482" s="3" t="s">
        <v>1505</v>
      </c>
      <c r="B1482" s="3" t="s">
        <v>8</v>
      </c>
      <c r="C1482" s="3" t="s">
        <v>6</v>
      </c>
      <c r="D1482" s="3" t="str">
        <f>IFERROR(__xludf.DUMMYFUNCTION("GOOGLETRANSLATE(A1482, ""en"", ""zh-CN"")"),"护照")</f>
        <v>护照</v>
      </c>
    </row>
    <row r="1483" ht="15.75" customHeight="1">
      <c r="A1483" s="3" t="s">
        <v>1506</v>
      </c>
      <c r="B1483" s="3" t="s">
        <v>22</v>
      </c>
      <c r="C1483" s="3" t="s">
        <v>13</v>
      </c>
      <c r="D1483" s="3" t="str">
        <f>IFERROR(__xludf.DUMMYFUNCTION("GOOGLETRANSLATE(A1483, ""en"", ""zh-CN"")"),"尖")</f>
        <v>尖</v>
      </c>
    </row>
    <row r="1484" ht="15.75" customHeight="1">
      <c r="A1484" s="3" t="s">
        <v>1507</v>
      </c>
      <c r="B1484" s="3" t="s">
        <v>8</v>
      </c>
      <c r="C1484" s="3" t="s">
        <v>13</v>
      </c>
      <c r="D1484" s="3" t="str">
        <f>IFERROR(__xludf.DUMMYFUNCTION("GOOGLETRANSLATE(A1484, ""en"", ""zh-CN"")"),"程序")</f>
        <v>程序</v>
      </c>
    </row>
    <row r="1485" ht="15.75" customHeight="1">
      <c r="A1485" s="3" t="s">
        <v>1508</v>
      </c>
      <c r="B1485" s="3" t="s">
        <v>8</v>
      </c>
      <c r="C1485" s="3" t="s">
        <v>9</v>
      </c>
      <c r="D1485" s="3" t="str">
        <f>IFERROR(__xludf.DUMMYFUNCTION("GOOGLETRANSLATE(A1485, ""en"", ""zh-CN"")"),"小路")</f>
        <v>小路</v>
      </c>
    </row>
    <row r="1486" ht="15.75" customHeight="1">
      <c r="A1486" s="3" t="s">
        <v>1509</v>
      </c>
      <c r="B1486" s="3" t="s">
        <v>22</v>
      </c>
      <c r="C1486" s="3" t="s">
        <v>9</v>
      </c>
      <c r="D1486" s="3" t="str">
        <f>IFERROR(__xludf.DUMMYFUNCTION("GOOGLETRANSLATE(A1486, ""en"", ""zh-CN"")"),"有毒")</f>
        <v>有毒</v>
      </c>
    </row>
    <row r="1487" ht="15.75" customHeight="1">
      <c r="A1487" s="3" t="s">
        <v>1510</v>
      </c>
      <c r="B1487" s="3" t="s">
        <v>8</v>
      </c>
      <c r="C1487" s="3" t="s">
        <v>6</v>
      </c>
      <c r="D1487" s="3" t="str">
        <f>IFERROR(__xludf.DUMMYFUNCTION("GOOGLETRANSLATE(A1487, ""en"", ""zh-CN"")"),"警察")</f>
        <v>警察</v>
      </c>
    </row>
    <row r="1488" ht="15.75" customHeight="1">
      <c r="A1488" s="3" t="s">
        <v>1511</v>
      </c>
      <c r="B1488" s="3" t="s">
        <v>8</v>
      </c>
      <c r="C1488" s="3" t="s">
        <v>9</v>
      </c>
      <c r="D1488" s="3" t="str">
        <f>IFERROR(__xludf.DUMMYFUNCTION("GOOGLETRANSLATE(A1488, ""en"", ""zh-CN"")"),"制作人")</f>
        <v>制作人</v>
      </c>
    </row>
    <row r="1489" ht="15.75" customHeight="1">
      <c r="A1489" s="3" t="s">
        <v>1512</v>
      </c>
      <c r="B1489" s="3" t="s">
        <v>8</v>
      </c>
      <c r="C1489" s="3" t="s">
        <v>16</v>
      </c>
      <c r="D1489" s="3" t="str">
        <f>IFERROR(__xludf.DUMMYFUNCTION("GOOGLETRANSLATE(A1489, ""en"", ""zh-CN"")"),"图案")</f>
        <v>图案</v>
      </c>
    </row>
    <row r="1490" ht="15.75" customHeight="1">
      <c r="A1490" s="3" t="s">
        <v>1513</v>
      </c>
      <c r="B1490" s="3" t="s">
        <v>8</v>
      </c>
      <c r="C1490" s="3" t="s">
        <v>6</v>
      </c>
      <c r="D1490" s="3" t="str">
        <f>IFERROR(__xludf.DUMMYFUNCTION("GOOGLETRANSLATE(A1490, ""en"", ""zh-CN"")"),"警察")</f>
        <v>警察</v>
      </c>
    </row>
    <row r="1491" ht="15.75" customHeight="1">
      <c r="A1491" s="3" t="s">
        <v>1514</v>
      </c>
      <c r="B1491" s="3" t="s">
        <v>8</v>
      </c>
      <c r="C1491" s="3" t="s">
        <v>6</v>
      </c>
      <c r="D1491" s="3" t="str">
        <f>IFERROR(__xludf.DUMMYFUNCTION("GOOGLETRANSLATE(A1491, ""en"", ""zh-CN"")"),"产品")</f>
        <v>产品</v>
      </c>
    </row>
    <row r="1492" ht="15.75" customHeight="1">
      <c r="A1492" s="3" t="s">
        <v>1515</v>
      </c>
      <c r="B1492" s="3" t="s">
        <v>8</v>
      </c>
      <c r="C1492" s="3" t="s">
        <v>9</v>
      </c>
      <c r="D1492" s="3" t="str">
        <f>IFERROR(__xludf.DUMMYFUNCTION("GOOGLETRANSLATE(A1492, ""en"", ""zh-CN"")"),"政策")</f>
        <v>政策</v>
      </c>
    </row>
    <row r="1493" ht="15.75" customHeight="1">
      <c r="A1493" s="3" t="s">
        <v>1516</v>
      </c>
      <c r="B1493" s="3" t="s">
        <v>8</v>
      </c>
      <c r="C1493" s="3" t="s">
        <v>9</v>
      </c>
      <c r="D1493" s="3" t="str">
        <f>IFERROR(__xludf.DUMMYFUNCTION("GOOGLETRANSLATE(A1493, ""en"", ""zh-CN"")"),"生产")</f>
        <v>生产</v>
      </c>
    </row>
    <row r="1494" ht="15.75" customHeight="1">
      <c r="A1494" s="3" t="s">
        <v>1517</v>
      </c>
      <c r="B1494" s="3" t="s">
        <v>8</v>
      </c>
      <c r="C1494" s="3" t="s">
        <v>9</v>
      </c>
      <c r="D1494" s="3" t="str">
        <f>IFERROR(__xludf.DUMMYFUNCTION("GOOGLETRANSLATE(A1494, ""en"", ""zh-CN"")"),"支付")</f>
        <v>支付</v>
      </c>
    </row>
    <row r="1495" ht="15.75" customHeight="1">
      <c r="A1495" s="3" t="s">
        <v>1518</v>
      </c>
      <c r="B1495" s="3" t="s">
        <v>22</v>
      </c>
      <c r="C1495" s="3" t="s">
        <v>16</v>
      </c>
      <c r="D1495" s="3" t="str">
        <f>IFERROR(__xludf.DUMMYFUNCTION("GOOGLETRANSLATE(A1495, ""en"", ""zh-CN"")"),"有礼貌的")</f>
        <v>有礼貌的</v>
      </c>
    </row>
    <row r="1496" ht="15.75" customHeight="1">
      <c r="A1496" s="3" t="s">
        <v>1519</v>
      </c>
      <c r="B1496" s="3" t="s">
        <v>8</v>
      </c>
      <c r="C1496" s="3" t="s">
        <v>9</v>
      </c>
      <c r="D1496" s="3" t="str">
        <f>IFERROR(__xludf.DUMMYFUNCTION("GOOGLETRANSLATE(A1496, ""en"", ""zh-CN"")"),"职业")</f>
        <v>职业</v>
      </c>
    </row>
    <row r="1497" ht="15.75" customHeight="1">
      <c r="A1497" s="3" t="s">
        <v>1520</v>
      </c>
      <c r="B1497" s="3" t="s">
        <v>8</v>
      </c>
      <c r="C1497" s="3" t="s">
        <v>16</v>
      </c>
      <c r="D1497" s="3" t="str">
        <f>IFERROR(__xludf.DUMMYFUNCTION("GOOGLETRANSLATE(A1497, ""en"", ""zh-CN"")"),"和平")</f>
        <v>和平</v>
      </c>
    </row>
    <row r="1498" ht="15.75" customHeight="1">
      <c r="A1498" s="3" t="s">
        <v>1521</v>
      </c>
      <c r="B1498" s="3" t="s">
        <v>22</v>
      </c>
      <c r="C1498" s="3" t="s">
        <v>9</v>
      </c>
      <c r="D1498" s="3" t="str">
        <f>IFERROR(__xludf.DUMMYFUNCTION("GOOGLETRANSLATE(A1498, ""en"", ""zh-CN"")"),"政治的")</f>
        <v>政治的</v>
      </c>
    </row>
    <row r="1499" ht="15.75" customHeight="1">
      <c r="A1499" s="3" t="s">
        <v>1522</v>
      </c>
      <c r="B1499" s="3" t="s">
        <v>22</v>
      </c>
      <c r="C1499" s="3" t="s">
        <v>9</v>
      </c>
      <c r="D1499" s="3" t="str">
        <f>IFERROR(__xludf.DUMMYFUNCTION("GOOGLETRANSLATE(A1499, ""en"", ""zh-CN"")"),"平静的")</f>
        <v>平静的</v>
      </c>
    </row>
    <row r="1500" ht="15.75" customHeight="1">
      <c r="A1500" s="3" t="s">
        <v>1523</v>
      </c>
      <c r="B1500" s="3" t="s">
        <v>8</v>
      </c>
      <c r="C1500" s="3" t="s">
        <v>9</v>
      </c>
      <c r="D1500" s="3" t="str">
        <f>IFERROR(__xludf.DUMMYFUNCTION("GOOGLETRANSLATE(A1500, ""en"", ""zh-CN"")"),"政治家")</f>
        <v>政治家</v>
      </c>
    </row>
    <row r="1501" ht="15.75" customHeight="1">
      <c r="A1501" s="3" t="s">
        <v>1524</v>
      </c>
      <c r="B1501" s="3" t="s">
        <v>8</v>
      </c>
      <c r="C1501" s="3" t="s">
        <v>16</v>
      </c>
      <c r="D1501" s="3" t="str">
        <f>IFERROR(__xludf.DUMMYFUNCTION("GOOGLETRANSLATE(A1501, ""en"", ""zh-CN"")"),"教授")</f>
        <v>教授</v>
      </c>
    </row>
    <row r="1502" ht="15.75" customHeight="1">
      <c r="A1502" s="3" t="s">
        <v>1525</v>
      </c>
      <c r="B1502" s="3" t="s">
        <v>8</v>
      </c>
      <c r="C1502" s="3" t="s">
        <v>6</v>
      </c>
      <c r="D1502" s="3" t="str">
        <f>IFERROR(__xludf.DUMMYFUNCTION("GOOGLETRANSLATE(A1502, ""en"", ""zh-CN"")"),"笔")</f>
        <v>笔</v>
      </c>
    </row>
    <row r="1503" ht="15.75" customHeight="1">
      <c r="A1503" s="3" t="s">
        <v>1526</v>
      </c>
      <c r="B1503" s="3" t="s">
        <v>8</v>
      </c>
      <c r="C1503" s="3" t="s">
        <v>9</v>
      </c>
      <c r="D1503" s="3" t="str">
        <f>IFERROR(__xludf.DUMMYFUNCTION("GOOGLETRANSLATE(A1503, ""en"", ""zh-CN"")"),"政治")</f>
        <v>政治</v>
      </c>
    </row>
    <row r="1504" ht="15.75" customHeight="1">
      <c r="A1504" s="3" t="s">
        <v>1527</v>
      </c>
      <c r="B1504" s="3" t="s">
        <v>8</v>
      </c>
      <c r="C1504" s="3" t="s">
        <v>16</v>
      </c>
      <c r="D1504" s="3" t="str">
        <f>IFERROR(__xludf.DUMMYFUNCTION("GOOGLETRANSLATE(A1504, ""en"", ""zh-CN"")"),"轮廓")</f>
        <v>轮廓</v>
      </c>
    </row>
    <row r="1505" ht="15.75" customHeight="1">
      <c r="A1505" s="3" t="s">
        <v>1528</v>
      </c>
      <c r="B1505" s="3" t="s">
        <v>8</v>
      </c>
      <c r="C1505" s="3" t="s">
        <v>6</v>
      </c>
      <c r="D1505" s="3" t="str">
        <f>IFERROR(__xludf.DUMMYFUNCTION("GOOGLETRANSLATE(A1505, ""en"", ""zh-CN"")"),"铅笔")</f>
        <v>铅笔</v>
      </c>
    </row>
    <row r="1506" ht="15.75" customHeight="1">
      <c r="A1506" s="3" t="s">
        <v>1529</v>
      </c>
      <c r="B1506" s="3" t="s">
        <v>8</v>
      </c>
      <c r="C1506" s="3" t="s">
        <v>16</v>
      </c>
      <c r="D1506" s="3" t="str">
        <f>IFERROR(__xludf.DUMMYFUNCTION("GOOGLETRANSLATE(A1506, ""en"", ""zh-CN"")"),"污染")</f>
        <v>污染</v>
      </c>
    </row>
    <row r="1507" ht="15.75" customHeight="1">
      <c r="A1507" s="3" t="s">
        <v>1530</v>
      </c>
      <c r="B1507" s="3" t="s">
        <v>8</v>
      </c>
      <c r="C1507" s="3" t="s">
        <v>9</v>
      </c>
      <c r="D1507" s="3" t="str">
        <f>IFERROR(__xludf.DUMMYFUNCTION("GOOGLETRANSLATE(A1507, ""en"", ""zh-CN"")"),"利润")</f>
        <v>利润</v>
      </c>
    </row>
    <row r="1508" ht="15.75" customHeight="1">
      <c r="A1508" s="3" t="s">
        <v>1531</v>
      </c>
      <c r="B1508" s="3" t="s">
        <v>8</v>
      </c>
      <c r="C1508" s="3" t="s">
        <v>16</v>
      </c>
      <c r="D1508" s="3" t="str">
        <f>IFERROR(__xludf.DUMMYFUNCTION("GOOGLETRANSLATE(A1508, ""en"", ""zh-CN"")"),"一分钱")</f>
        <v>一分钱</v>
      </c>
    </row>
    <row r="1509" ht="15.75" customHeight="1">
      <c r="A1509" s="3" t="s">
        <v>1532</v>
      </c>
      <c r="B1509" s="3" t="s">
        <v>8</v>
      </c>
      <c r="C1509" s="3" t="s">
        <v>6</v>
      </c>
      <c r="D1509" s="3" t="str">
        <f>IFERROR(__xludf.DUMMYFUNCTION("GOOGLETRANSLATE(A1509, ""en"", ""zh-CN"")"),"水池")</f>
        <v>水池</v>
      </c>
    </row>
    <row r="1510" ht="15.75" customHeight="1">
      <c r="A1510" s="3" t="s">
        <v>1533</v>
      </c>
      <c r="B1510" s="3" t="s">
        <v>8</v>
      </c>
      <c r="C1510" s="3" t="s">
        <v>13</v>
      </c>
      <c r="D1510" s="3" t="str">
        <f>IFERROR(__xludf.DUMMYFUNCTION("GOOGLETRANSLATE(A1510, ""en"", ""zh-CN"")"),"养老金1")</f>
        <v>养老金1</v>
      </c>
    </row>
    <row r="1511" ht="15.75" customHeight="1">
      <c r="A1511" s="3" t="s">
        <v>1534</v>
      </c>
      <c r="B1511" s="3" t="s">
        <v>22</v>
      </c>
      <c r="C1511" s="3" t="s">
        <v>6</v>
      </c>
      <c r="D1511" s="3" t="str">
        <f>IFERROR(__xludf.DUMMYFUNCTION("GOOGLETRANSLATE(A1511, ""en"", ""zh-CN"")"),"贫穷的")</f>
        <v>贫穷的</v>
      </c>
    </row>
    <row r="1512" ht="15.75" customHeight="1">
      <c r="A1512" s="3" t="s">
        <v>1535</v>
      </c>
      <c r="B1512" s="3" t="s">
        <v>8</v>
      </c>
      <c r="C1512" s="3" t="s">
        <v>6</v>
      </c>
      <c r="D1512" s="3" t="str">
        <f>IFERROR(__xludf.DUMMYFUNCTION("GOOGLETRANSLATE(A1512, ""en"", ""zh-CN"")"),"程序")</f>
        <v>程序</v>
      </c>
    </row>
    <row r="1513" ht="15.75" customHeight="1">
      <c r="A1513" s="3" t="s">
        <v>1536</v>
      </c>
      <c r="B1513" s="3" t="s">
        <v>8</v>
      </c>
      <c r="C1513" s="3" t="s">
        <v>6</v>
      </c>
      <c r="D1513" s="3" t="str">
        <f>IFERROR(__xludf.DUMMYFUNCTION("GOOGLETRANSLATE(A1513, ""en"", ""zh-CN"")"),"人们")</f>
        <v>人们</v>
      </c>
    </row>
    <row r="1514" ht="15.75" customHeight="1">
      <c r="A1514" s="3" t="s">
        <v>1537</v>
      </c>
      <c r="B1514" s="3" t="s">
        <v>8</v>
      </c>
      <c r="C1514" s="3" t="s">
        <v>6</v>
      </c>
      <c r="D1514" s="3" t="str">
        <f>IFERROR(__xludf.DUMMYFUNCTION("GOOGLETRANSLATE(A1514, ""en"", ""zh-CN"")"),"胡椒")</f>
        <v>胡椒</v>
      </c>
    </row>
    <row r="1515" ht="15.75" customHeight="1">
      <c r="A1515" s="3" t="s">
        <v>1538</v>
      </c>
      <c r="B1515" s="3" t="s">
        <v>22</v>
      </c>
      <c r="C1515" s="3" t="s">
        <v>6</v>
      </c>
      <c r="D1515" s="3" t="str">
        <f>IFERROR(__xludf.DUMMYFUNCTION("GOOGLETRANSLATE(A1515, ""en"", ""zh-CN"")"),"受欢迎的")</f>
        <v>受欢迎的</v>
      </c>
    </row>
    <row r="1516" ht="15.75" customHeight="1">
      <c r="A1516" s="3" t="s">
        <v>1539</v>
      </c>
      <c r="B1516" s="3" t="s">
        <v>88</v>
      </c>
      <c r="C1516" s="3" t="s">
        <v>16</v>
      </c>
      <c r="D1516" s="3" t="str">
        <f>IFERROR(__xludf.DUMMYFUNCTION("GOOGLETRANSLATE(A1516, ""en"", ""zh-CN"")"),"每")</f>
        <v>每</v>
      </c>
    </row>
    <row r="1517" ht="15.75" customHeight="1">
      <c r="A1517" s="3" t="s">
        <v>1540</v>
      </c>
      <c r="B1517" s="3" t="s">
        <v>8</v>
      </c>
      <c r="C1517" s="3" t="s">
        <v>13</v>
      </c>
      <c r="D1517" s="3" t="str">
        <f>IFERROR(__xludf.DUMMYFUNCTION("GOOGLETRANSLATE(A1517, ""en"", ""zh-CN"")"),"受欢迎程度")</f>
        <v>受欢迎程度</v>
      </c>
    </row>
    <row r="1518" ht="15.75" customHeight="1">
      <c r="A1518" s="3" t="s">
        <v>1541</v>
      </c>
      <c r="B1518" s="3" t="s">
        <v>8</v>
      </c>
      <c r="C1518" s="3" t="s">
        <v>16</v>
      </c>
      <c r="D1518" s="3" t="str">
        <f>IFERROR(__xludf.DUMMYFUNCTION("GOOGLETRANSLATE(A1518, ""en"", ""zh-CN"")"),"人口")</f>
        <v>人口</v>
      </c>
    </row>
    <row r="1519" ht="15.75" customHeight="1">
      <c r="A1519" s="3" t="s">
        <v>1542</v>
      </c>
      <c r="B1519" s="3" t="s">
        <v>12</v>
      </c>
      <c r="C1519" s="3" t="s">
        <v>9</v>
      </c>
      <c r="D1519" s="3" t="str">
        <f>IFERROR(__xludf.DUMMYFUNCTION("GOOGLETRANSLATE(A1519, ""en"", ""zh-CN"")"),"推动")</f>
        <v>推动</v>
      </c>
    </row>
    <row r="1520" ht="15.75" customHeight="1">
      <c r="A1520" s="3" t="s">
        <v>1543</v>
      </c>
      <c r="B1520" s="3" t="s">
        <v>8</v>
      </c>
      <c r="C1520" s="3" t="s">
        <v>9</v>
      </c>
      <c r="D1520" s="3" t="str">
        <f>IFERROR(__xludf.DUMMYFUNCTION("GOOGLETRANSLATE(A1520, ""en"", ""zh-CN"")"),"百分比")</f>
        <v>百分比</v>
      </c>
    </row>
    <row r="1521" ht="15.75" customHeight="1">
      <c r="A1521" s="3" t="s">
        <v>1544</v>
      </c>
      <c r="B1521" s="3" t="s">
        <v>8</v>
      </c>
      <c r="C1521" s="3" t="s">
        <v>9</v>
      </c>
      <c r="D1521" s="3" t="str">
        <f>IFERROR(__xludf.DUMMYFUNCTION("GOOGLETRANSLATE(A1521, ""en"", ""zh-CN"")"),"港口")</f>
        <v>港口</v>
      </c>
    </row>
    <row r="1522" ht="15.75" customHeight="1">
      <c r="A1522" s="3" t="s">
        <v>1545</v>
      </c>
      <c r="B1522" s="3" t="s">
        <v>12</v>
      </c>
      <c r="C1522" s="3" t="s">
        <v>16</v>
      </c>
      <c r="D1522" s="3" t="str">
        <f>IFERROR(__xludf.DUMMYFUNCTION("GOOGLETRANSLATE(A1522, ""en"", ""zh-CN"")"),"发音")</f>
        <v>发音</v>
      </c>
    </row>
    <row r="1523" ht="15.75" customHeight="1">
      <c r="A1523" s="3" t="s">
        <v>1546</v>
      </c>
      <c r="B1523" s="3" t="s">
        <v>22</v>
      </c>
      <c r="C1523" s="3" t="s">
        <v>6</v>
      </c>
      <c r="D1523" s="3" t="str">
        <f>IFERROR(__xludf.DUMMYFUNCTION("GOOGLETRANSLATE(A1523, ""en"", ""zh-CN"")"),"完美的")</f>
        <v>完美的</v>
      </c>
    </row>
    <row r="1524" ht="15.75" customHeight="1">
      <c r="A1524" s="3" t="s">
        <v>1547</v>
      </c>
      <c r="B1524" s="3" t="s">
        <v>8</v>
      </c>
      <c r="C1524" s="3" t="s">
        <v>9</v>
      </c>
      <c r="D1524" s="3" t="str">
        <f>IFERROR(__xludf.DUMMYFUNCTION("GOOGLETRANSLATE(A1524, ""en"", ""zh-CN"")"),"肖像")</f>
        <v>肖像</v>
      </c>
    </row>
    <row r="1525" ht="15.75" customHeight="1">
      <c r="A1525" s="3" t="s">
        <v>1548</v>
      </c>
      <c r="B1525" s="3" t="s">
        <v>8</v>
      </c>
      <c r="C1525" s="3" t="s">
        <v>13</v>
      </c>
      <c r="D1525" s="3" t="str">
        <f>IFERROR(__xludf.DUMMYFUNCTION("GOOGLETRANSLATE(A1525, ""en"", ""zh-CN"")"),"证明")</f>
        <v>证明</v>
      </c>
    </row>
    <row r="1526" ht="15.75" customHeight="1">
      <c r="A1526" s="3" t="s">
        <v>1549</v>
      </c>
      <c r="B1526" s="3" t="s">
        <v>20</v>
      </c>
      <c r="C1526" s="3" t="s">
        <v>9</v>
      </c>
      <c r="D1526" s="3" t="str">
        <f>IFERROR(__xludf.DUMMYFUNCTION("GOOGLETRANSLATE(A1526, ""en"", ""zh-CN"")"),"完美")</f>
        <v>完美</v>
      </c>
    </row>
    <row r="1527" ht="15.75" customHeight="1">
      <c r="A1527" s="3" t="s">
        <v>1550</v>
      </c>
      <c r="B1527" s="3" t="s">
        <v>12</v>
      </c>
      <c r="C1527" s="3" t="s">
        <v>13</v>
      </c>
      <c r="D1527" s="3" t="str">
        <f>IFERROR(__xludf.DUMMYFUNCTION("GOOGLETRANSLATE(A1527, ""en"", ""zh-CN"")"),"姿势")</f>
        <v>姿势</v>
      </c>
    </row>
    <row r="1528" ht="15.75" customHeight="1">
      <c r="A1528" s="3" t="s">
        <v>1551</v>
      </c>
      <c r="B1528" s="3" t="s">
        <v>22</v>
      </c>
      <c r="C1528" s="3" t="s">
        <v>9</v>
      </c>
      <c r="D1528" s="3" t="str">
        <f>IFERROR(__xludf.DUMMYFUNCTION("GOOGLETRANSLATE(A1528, ""en"", ""zh-CN"")"),"恰当的")</f>
        <v>恰当的</v>
      </c>
    </row>
    <row r="1529" ht="15.75" customHeight="1">
      <c r="A1529" s="3" t="s">
        <v>1552</v>
      </c>
      <c r="B1529" s="3" t="s">
        <v>12</v>
      </c>
      <c r="C1529" s="3" t="s">
        <v>16</v>
      </c>
      <c r="D1529" s="3" t="str">
        <f>IFERROR(__xludf.DUMMYFUNCTION("GOOGLETRANSLATE(A1529, ""en"", ""zh-CN"")"),"履行")</f>
        <v>履行</v>
      </c>
    </row>
    <row r="1530" ht="15.75" customHeight="1">
      <c r="A1530" s="3" t="s">
        <v>1553</v>
      </c>
      <c r="B1530" s="3" t="s">
        <v>20</v>
      </c>
      <c r="C1530" s="3" t="s">
        <v>9</v>
      </c>
      <c r="D1530" s="3" t="str">
        <f>IFERROR(__xludf.DUMMYFUNCTION("GOOGLETRANSLATE(A1530, ""en"", ""zh-CN"")"),"适当地")</f>
        <v>适当地</v>
      </c>
    </row>
    <row r="1531" ht="15.75" customHeight="1">
      <c r="A1531" s="3" t="s">
        <v>1554</v>
      </c>
      <c r="B1531" s="3" t="s">
        <v>8</v>
      </c>
      <c r="C1531" s="3" t="s">
        <v>9</v>
      </c>
      <c r="D1531" s="3" t="str">
        <f>IFERROR(__xludf.DUMMYFUNCTION("GOOGLETRANSLATE(A1531, ""en"", ""zh-CN"")"),"表现")</f>
        <v>表现</v>
      </c>
    </row>
    <row r="1532" ht="15.75" customHeight="1">
      <c r="A1532" s="3" t="s">
        <v>1555</v>
      </c>
      <c r="B1532" s="3" t="s">
        <v>8</v>
      </c>
      <c r="C1532" s="3" t="s">
        <v>9</v>
      </c>
      <c r="D1532" s="3" t="str">
        <f>IFERROR(__xludf.DUMMYFUNCTION("GOOGLETRANSLATE(A1532, ""en"", ""zh-CN"")"),"财产")</f>
        <v>财产</v>
      </c>
    </row>
    <row r="1533" ht="15.75" customHeight="1">
      <c r="A1533" s="3" t="s">
        <v>1556</v>
      </c>
      <c r="B1533" s="3" t="s">
        <v>20</v>
      </c>
      <c r="C1533" s="3" t="s">
        <v>16</v>
      </c>
      <c r="D1533" s="3" t="str">
        <f>IFERROR(__xludf.DUMMYFUNCTION("GOOGLETRANSLATE(A1533, ""en"", ""zh-CN"")"),"也许")</f>
        <v>也许</v>
      </c>
    </row>
    <row r="1534" ht="15.75" customHeight="1">
      <c r="A1534" s="3" t="s">
        <v>1557</v>
      </c>
      <c r="B1534" s="3" t="s">
        <v>12</v>
      </c>
      <c r="C1534" s="3" t="s">
        <v>13</v>
      </c>
      <c r="D1534" s="3" t="str">
        <f>IFERROR(__xludf.DUMMYFUNCTION("GOOGLETRANSLATE(A1534, ""en"", ""zh-CN"")"),"具有")</f>
        <v>具有</v>
      </c>
    </row>
    <row r="1535" ht="15.75" customHeight="1">
      <c r="A1535" s="3" t="s">
        <v>1558</v>
      </c>
      <c r="B1535" s="3" t="s">
        <v>8</v>
      </c>
      <c r="C1535" s="3" t="s">
        <v>13</v>
      </c>
      <c r="D1535" s="3" t="str">
        <f>IFERROR(__xludf.DUMMYFUNCTION("GOOGLETRANSLATE(A1535, ""en"", ""zh-CN"")"),"提议")</f>
        <v>提议</v>
      </c>
    </row>
    <row r="1536" ht="15.75" customHeight="1">
      <c r="A1536" s="3" t="s">
        <v>1559</v>
      </c>
      <c r="B1536" s="3" t="s">
        <v>8</v>
      </c>
      <c r="C1536" s="3" t="s">
        <v>6</v>
      </c>
      <c r="D1536" s="3" t="str">
        <f>IFERROR(__xludf.DUMMYFUNCTION("GOOGLETRANSLATE(A1536, ""en"", ""zh-CN"")"),"时期")</f>
        <v>时期</v>
      </c>
    </row>
    <row r="1537" ht="15.75" customHeight="1">
      <c r="A1537" s="3" t="s">
        <v>1560</v>
      </c>
      <c r="B1537" s="3" t="s">
        <v>8</v>
      </c>
      <c r="C1537" s="3" t="s">
        <v>16</v>
      </c>
      <c r="D1537" s="3" t="str">
        <f>IFERROR(__xludf.DUMMYFUNCTION("GOOGLETRANSLATE(A1537, ""en"", ""zh-CN"")"),"拥有")</f>
        <v>拥有</v>
      </c>
    </row>
    <row r="1538" ht="15.75" customHeight="1">
      <c r="A1538" s="3" t="s">
        <v>1561</v>
      </c>
      <c r="B1538" s="3" t="s">
        <v>12</v>
      </c>
      <c r="C1538" s="3" t="s">
        <v>13</v>
      </c>
      <c r="D1538" s="3" t="str">
        <f>IFERROR(__xludf.DUMMYFUNCTION("GOOGLETRANSLATE(A1538, ""en"", ""zh-CN"")"),"提出")</f>
        <v>提出</v>
      </c>
    </row>
    <row r="1539" ht="15.75" customHeight="1">
      <c r="A1539" s="3" t="s">
        <v>1562</v>
      </c>
      <c r="B1539" s="3" t="s">
        <v>22</v>
      </c>
      <c r="C1539" s="3" t="s">
        <v>13</v>
      </c>
      <c r="D1539" s="3" t="str">
        <f>IFERROR(__xludf.DUMMYFUNCTION("GOOGLETRANSLATE(A1539, ""en"", ""zh-CN"")"),"永恒的")</f>
        <v>永恒的</v>
      </c>
    </row>
    <row r="1540" ht="15.75" customHeight="1">
      <c r="A1540" s="3" t="s">
        <v>1563</v>
      </c>
      <c r="B1540" s="3" t="s">
        <v>8</v>
      </c>
      <c r="C1540" s="3" t="s">
        <v>16</v>
      </c>
      <c r="D1540" s="3" t="str">
        <f>IFERROR(__xludf.DUMMYFUNCTION("GOOGLETRANSLATE(A1540, ""en"", ""zh-CN"")"),"可能性")</f>
        <v>可能性</v>
      </c>
    </row>
    <row r="1541" ht="15.75" customHeight="1">
      <c r="A1541" s="3" t="s">
        <v>1564</v>
      </c>
      <c r="B1541" s="3" t="s">
        <v>8</v>
      </c>
      <c r="C1541" s="3" t="s">
        <v>13</v>
      </c>
      <c r="D1541" s="3" t="str">
        <f>IFERROR(__xludf.DUMMYFUNCTION("GOOGLETRANSLATE(A1541, ""en"", ""zh-CN"")"),"前景")</f>
        <v>前景</v>
      </c>
    </row>
    <row r="1542" ht="15.75" customHeight="1">
      <c r="A1542" s="3" t="s">
        <v>1565</v>
      </c>
      <c r="B1542" s="3" t="s">
        <v>8</v>
      </c>
      <c r="C1542" s="3" t="s">
        <v>16</v>
      </c>
      <c r="D1542" s="3" t="str">
        <f>IFERROR(__xludf.DUMMYFUNCTION("GOOGLETRANSLATE(A1542, ""en"", ""zh-CN"")"),"允许")</f>
        <v>允许</v>
      </c>
    </row>
    <row r="1543" ht="15.75" customHeight="1">
      <c r="A1543" s="3" t="s">
        <v>1566</v>
      </c>
      <c r="B1543" s="3" t="s">
        <v>22</v>
      </c>
      <c r="C1543" s="3" t="s">
        <v>6</v>
      </c>
      <c r="D1543" s="3" t="str">
        <f>IFERROR(__xludf.DUMMYFUNCTION("GOOGLETRANSLATE(A1543, ""en"", ""zh-CN"")"),"可能的")</f>
        <v>可能的</v>
      </c>
    </row>
    <row r="1544" ht="15.75" customHeight="1">
      <c r="A1544" s="3" t="s">
        <v>1567</v>
      </c>
      <c r="B1544" s="3" t="s">
        <v>12</v>
      </c>
      <c r="C1544" s="3" t="s">
        <v>16</v>
      </c>
      <c r="D1544" s="3" t="str">
        <f>IFERROR(__xludf.DUMMYFUNCTION("GOOGLETRANSLATE(A1544, ""en"", ""zh-CN"")"),"保护")</f>
        <v>保护</v>
      </c>
    </row>
    <row r="1545" ht="15.75" customHeight="1">
      <c r="A1545" s="3" t="s">
        <v>1568</v>
      </c>
      <c r="B1545" s="3" t="s">
        <v>20</v>
      </c>
      <c r="C1545" s="3" t="s">
        <v>9</v>
      </c>
      <c r="D1545" s="3" t="str">
        <f>IFERROR(__xludf.DUMMYFUNCTION("GOOGLETRANSLATE(A1545, ""en"", ""zh-CN"")"),"可能")</f>
        <v>可能</v>
      </c>
    </row>
    <row r="1546" ht="15.75" customHeight="1">
      <c r="A1546" s="3" t="s">
        <v>1569</v>
      </c>
      <c r="B1546" s="3" t="s">
        <v>8</v>
      </c>
      <c r="C1546" s="3" t="s">
        <v>13</v>
      </c>
      <c r="D1546" s="3" t="str">
        <f>IFERROR(__xludf.DUMMYFUNCTION("GOOGLETRANSLATE(A1546, ""en"", ""zh-CN"")"),"保护")</f>
        <v>保护</v>
      </c>
    </row>
    <row r="1547" ht="15.75" customHeight="1">
      <c r="A1547" s="3" t="s">
        <v>1570</v>
      </c>
      <c r="B1547" s="3" t="s">
        <v>8</v>
      </c>
      <c r="C1547" s="3" t="s">
        <v>6</v>
      </c>
      <c r="D1547" s="3" t="str">
        <f>IFERROR(__xludf.DUMMYFUNCTION("GOOGLETRANSLATE(A1547, ""en"", ""zh-CN"")"),"人")</f>
        <v>人</v>
      </c>
    </row>
    <row r="1548" ht="15.75" customHeight="1">
      <c r="A1548" s="3" t="s">
        <v>1571</v>
      </c>
      <c r="B1548" s="3" t="s">
        <v>22</v>
      </c>
      <c r="C1548" s="3" t="s">
        <v>6</v>
      </c>
      <c r="D1548" s="3" t="str">
        <f>IFERROR(__xludf.DUMMYFUNCTION("GOOGLETRANSLATE(A1548, ""en"", ""zh-CN"")"),"个人的")</f>
        <v>个人的</v>
      </c>
    </row>
    <row r="1549" ht="15.75" customHeight="1">
      <c r="A1549" s="3" t="s">
        <v>1572</v>
      </c>
      <c r="B1549" s="3" t="s">
        <v>8</v>
      </c>
      <c r="C1549" s="3" t="s">
        <v>16</v>
      </c>
      <c r="D1549" s="3" t="str">
        <f>IFERROR(__xludf.DUMMYFUNCTION("GOOGLETRANSLATE(A1549, ""en"", ""zh-CN"")"),"海报")</f>
        <v>海报</v>
      </c>
    </row>
    <row r="1550" ht="15.75" customHeight="1">
      <c r="A1550" s="3" t="s">
        <v>1573</v>
      </c>
      <c r="B1550" s="3" t="s">
        <v>22</v>
      </c>
      <c r="C1550" s="3" t="s">
        <v>9</v>
      </c>
      <c r="D1550" s="3" t="str">
        <f>IFERROR(__xludf.DUMMYFUNCTION("GOOGLETRANSLATE(A1550, ""en"", ""zh-CN"")"),"自豪的")</f>
        <v>自豪的</v>
      </c>
    </row>
    <row r="1551" ht="15.75" customHeight="1">
      <c r="A1551" s="3" t="s">
        <v>1574</v>
      </c>
      <c r="B1551" s="3" t="s">
        <v>8</v>
      </c>
      <c r="C1551" s="3" t="s">
        <v>16</v>
      </c>
      <c r="D1551" s="3" t="str">
        <f>IFERROR(__xludf.DUMMYFUNCTION("GOOGLETRANSLATE(A1551, ""en"", ""zh-CN"")"),"性格")</f>
        <v>性格</v>
      </c>
    </row>
    <row r="1552" ht="15.75" customHeight="1">
      <c r="A1552" s="3" t="s">
        <v>1575</v>
      </c>
      <c r="B1552" s="3" t="s">
        <v>8</v>
      </c>
      <c r="C1552" s="3" t="s">
        <v>9</v>
      </c>
      <c r="D1552" s="3" t="str">
        <f>IFERROR(__xludf.DUMMYFUNCTION("GOOGLETRANSLATE(A1552, ""en"", ""zh-CN"")"),"锅")</f>
        <v>锅</v>
      </c>
    </row>
    <row r="1553" ht="15.75" customHeight="1">
      <c r="A1553" s="3" t="s">
        <v>1576</v>
      </c>
      <c r="B1553" s="3" t="s">
        <v>12</v>
      </c>
      <c r="C1553" s="3" t="s">
        <v>9</v>
      </c>
      <c r="D1553" s="3" t="str">
        <f>IFERROR(__xludf.DUMMYFUNCTION("GOOGLETRANSLATE(A1553, ""en"", ""zh-CN"")"),"证明")</f>
        <v>证明</v>
      </c>
    </row>
    <row r="1554" ht="15.75" customHeight="1">
      <c r="A1554" s="3" t="s">
        <v>1577</v>
      </c>
      <c r="B1554" s="3" t="s">
        <v>20</v>
      </c>
      <c r="C1554" s="3" t="s">
        <v>9</v>
      </c>
      <c r="D1554" s="3" t="str">
        <f>IFERROR(__xludf.DUMMYFUNCTION("GOOGLETRANSLATE(A1554, ""en"", ""zh-CN"")"),"亲自")</f>
        <v>亲自</v>
      </c>
    </row>
    <row r="1555" ht="15.75" customHeight="1">
      <c r="A1555" s="3" t="s">
        <v>1578</v>
      </c>
      <c r="B1555" s="3" t="s">
        <v>8</v>
      </c>
      <c r="C1555" s="3" t="s">
        <v>6</v>
      </c>
      <c r="D1555" s="3" t="str">
        <f>IFERROR(__xludf.DUMMYFUNCTION("GOOGLETRANSLATE(A1555, ""en"", ""zh-CN"")"),"土豆")</f>
        <v>土豆</v>
      </c>
    </row>
    <row r="1556" ht="15.75" customHeight="1">
      <c r="A1556" s="3" t="s">
        <v>1579</v>
      </c>
      <c r="B1556" s="3" t="s">
        <v>12</v>
      </c>
      <c r="C1556" s="3" t="s">
        <v>16</v>
      </c>
      <c r="D1556" s="3" t="str">
        <f>IFERROR(__xludf.DUMMYFUNCTION("GOOGLETRANSLATE(A1556, ""en"", ""zh-CN"")"),"提供")</f>
        <v>提供</v>
      </c>
    </row>
    <row r="1557" ht="15.75" customHeight="1">
      <c r="A1557" s="3" t="s">
        <v>1580</v>
      </c>
      <c r="B1557" s="3" t="s">
        <v>8</v>
      </c>
      <c r="C1557" s="3" t="s">
        <v>13</v>
      </c>
      <c r="D1557" s="3" t="str">
        <f>IFERROR(__xludf.DUMMYFUNCTION("GOOGLETRANSLATE(A1557, ""en"", ""zh-CN"")"),"看法")</f>
        <v>看法</v>
      </c>
    </row>
    <row r="1558" ht="15.75" customHeight="1">
      <c r="A1558" s="3" t="s">
        <v>1581</v>
      </c>
      <c r="B1558" s="3" t="s">
        <v>8</v>
      </c>
      <c r="C1558" s="3" t="s">
        <v>13</v>
      </c>
      <c r="D1558" s="3" t="str">
        <f>IFERROR(__xludf.DUMMYFUNCTION("GOOGLETRANSLATE(A1558, ""en"", ""zh-CN"")"),"心理学家")</f>
        <v>心理学家</v>
      </c>
    </row>
    <row r="1559" ht="15.75" customHeight="1">
      <c r="A1559" s="3" t="s">
        <v>1582</v>
      </c>
      <c r="B1559" s="3" t="s">
        <v>12</v>
      </c>
      <c r="C1559" s="3" t="s">
        <v>9</v>
      </c>
      <c r="D1559" s="3" t="str">
        <f>IFERROR(__xludf.DUMMYFUNCTION("GOOGLETRANSLATE(A1559, ""en"", ""zh-CN"")"),"说服")</f>
        <v>说服</v>
      </c>
    </row>
    <row r="1560" ht="15.75" customHeight="1">
      <c r="A1560" s="3" t="s">
        <v>1583</v>
      </c>
      <c r="B1560" s="3" t="s">
        <v>8</v>
      </c>
      <c r="C1560" s="3" t="s">
        <v>6</v>
      </c>
      <c r="D1560" s="3" t="str">
        <f>IFERROR(__xludf.DUMMYFUNCTION("GOOGLETRANSLATE(A1560, ""en"", ""zh-CN"")"),"磅")</f>
        <v>磅</v>
      </c>
    </row>
    <row r="1561" ht="15.75" customHeight="1">
      <c r="A1561" s="3" t="s">
        <v>1584</v>
      </c>
      <c r="B1561" s="3" t="s">
        <v>8</v>
      </c>
      <c r="C1561" s="3" t="s">
        <v>13</v>
      </c>
      <c r="D1561" s="3" t="str">
        <f>IFERROR(__xludf.DUMMYFUNCTION("GOOGLETRANSLATE(A1561, ""en"", ""zh-CN"")"),"心理学")</f>
        <v>心理学</v>
      </c>
    </row>
    <row r="1562" ht="15.75" customHeight="1">
      <c r="A1562" s="3" t="s">
        <v>1585</v>
      </c>
      <c r="B1562" s="3" t="s">
        <v>8</v>
      </c>
      <c r="C1562" s="3" t="s">
        <v>16</v>
      </c>
      <c r="D1562" s="3" t="str">
        <f>IFERROR(__xludf.DUMMYFUNCTION("GOOGLETRANSLATE(A1562, ""en"", ""zh-CN"")"),"宠物")</f>
        <v>宠物</v>
      </c>
    </row>
    <row r="1563" ht="15.75" customHeight="1">
      <c r="A1563" s="3" t="s">
        <v>1586</v>
      </c>
      <c r="B1563" s="3" t="s">
        <v>12</v>
      </c>
      <c r="C1563" s="3" t="s">
        <v>9</v>
      </c>
      <c r="D1563" s="3" t="str">
        <f>IFERROR(__xludf.DUMMYFUNCTION("GOOGLETRANSLATE(A1563, ""en"", ""zh-CN"")"),"倒")</f>
        <v>倒</v>
      </c>
    </row>
    <row r="1564" ht="15.75" customHeight="1">
      <c r="A1564" s="3" t="s">
        <v>1587</v>
      </c>
      <c r="B1564" s="3" t="s">
        <v>8</v>
      </c>
      <c r="C1564" s="3" t="s">
        <v>16</v>
      </c>
      <c r="D1564" s="3" t="str">
        <f>IFERROR(__xludf.DUMMYFUNCTION("GOOGLETRANSLATE(A1564, ""en"", ""zh-CN"")"),"酒吧")</f>
        <v>酒吧</v>
      </c>
    </row>
    <row r="1565" ht="15.75" customHeight="1">
      <c r="A1565" s="3" t="s">
        <v>1588</v>
      </c>
      <c r="B1565" s="3" t="s">
        <v>8</v>
      </c>
      <c r="C1565" s="3" t="s">
        <v>16</v>
      </c>
      <c r="D1565" s="3" t="str">
        <f>IFERROR(__xludf.DUMMYFUNCTION("GOOGLETRANSLATE(A1565, ""en"", ""zh-CN"")"),"汽油")</f>
        <v>汽油</v>
      </c>
    </row>
    <row r="1566" ht="15.75" customHeight="1">
      <c r="A1566" s="3" t="s">
        <v>1589</v>
      </c>
      <c r="B1566" s="3" t="s">
        <v>8</v>
      </c>
      <c r="C1566" s="3" t="s">
        <v>9</v>
      </c>
      <c r="D1566" s="3" t="str">
        <f>IFERROR(__xludf.DUMMYFUNCTION("GOOGLETRANSLATE(A1566, ""en"", ""zh-CN"")"),"贫困")</f>
        <v>贫困</v>
      </c>
    </row>
    <row r="1567" ht="15.75" customHeight="1">
      <c r="A1567" s="3" t="s">
        <v>1590</v>
      </c>
      <c r="B1567" s="3" t="s">
        <v>8</v>
      </c>
      <c r="C1567" s="3" t="s">
        <v>13</v>
      </c>
      <c r="D1567" s="3" t="str">
        <f>IFERROR(__xludf.DUMMYFUNCTION("GOOGLETRANSLATE(A1567, ""en"", ""zh-CN"")"),"阶段")</f>
        <v>阶段</v>
      </c>
    </row>
    <row r="1568" ht="15.75" customHeight="1">
      <c r="A1568" s="3" t="s">
        <v>1591</v>
      </c>
      <c r="B1568" s="3" t="s">
        <v>8</v>
      </c>
      <c r="C1568" s="3" t="s">
        <v>9</v>
      </c>
      <c r="D1568" s="3" t="str">
        <f>IFERROR(__xludf.DUMMYFUNCTION("GOOGLETRANSLATE(A1568, ""en"", ""zh-CN"")"),"粉末")</f>
        <v>粉末</v>
      </c>
    </row>
    <row r="1569" ht="15.75" customHeight="1">
      <c r="A1569" s="3" t="s">
        <v>1592</v>
      </c>
      <c r="B1569" s="3" t="s">
        <v>8</v>
      </c>
      <c r="C1569" s="3" t="s">
        <v>13</v>
      </c>
      <c r="D1569" s="3" t="str">
        <f>IFERROR(__xludf.DUMMYFUNCTION("GOOGLETRANSLATE(A1569, ""en"", ""zh-CN"")"),"出版物")</f>
        <v>出版物</v>
      </c>
    </row>
    <row r="1570" ht="15.75" customHeight="1">
      <c r="A1570" s="3" t="s">
        <v>1593</v>
      </c>
      <c r="B1570" s="3" t="s">
        <v>8</v>
      </c>
      <c r="C1570" s="3" t="s">
        <v>13</v>
      </c>
      <c r="D1570" s="3" t="str">
        <f>IFERROR(__xludf.DUMMYFUNCTION("GOOGLETRANSLATE(A1570, ""en"", ""zh-CN"")"),"现象")</f>
        <v>现象</v>
      </c>
    </row>
    <row r="1571" ht="15.75" customHeight="1">
      <c r="A1571" s="3" t="s">
        <v>1594</v>
      </c>
      <c r="B1571" s="3" t="s">
        <v>12</v>
      </c>
      <c r="C1571" s="3" t="s">
        <v>16</v>
      </c>
      <c r="D1571" s="3" t="str">
        <f>IFERROR(__xludf.DUMMYFUNCTION("GOOGLETRANSLATE(A1571, ""en"", ""zh-CN"")"),"发布")</f>
        <v>发布</v>
      </c>
    </row>
    <row r="1572" ht="15.75" customHeight="1">
      <c r="A1572" s="3" t="s">
        <v>1595</v>
      </c>
      <c r="B1572" s="3" t="s">
        <v>8</v>
      </c>
      <c r="C1572" s="3" t="s">
        <v>13</v>
      </c>
      <c r="D1572" s="3" t="str">
        <f>IFERROR(__xludf.DUMMYFUNCTION("GOOGLETRANSLATE(A1572, ""en"", ""zh-CN"")"),"哲学")</f>
        <v>哲学</v>
      </c>
    </row>
    <row r="1573" ht="15.75" customHeight="1">
      <c r="A1573" s="3" t="s">
        <v>1596</v>
      </c>
      <c r="B1573" s="3" t="s">
        <v>22</v>
      </c>
      <c r="C1573" s="3" t="s">
        <v>9</v>
      </c>
      <c r="D1573" s="3" t="str">
        <f>IFERROR(__xludf.DUMMYFUNCTION("GOOGLETRANSLATE(A1573, ""en"", ""zh-CN"")"),"强大的")</f>
        <v>强大的</v>
      </c>
    </row>
    <row r="1574" ht="15.75" customHeight="1">
      <c r="A1574" s="3" t="s">
        <v>1597</v>
      </c>
      <c r="B1574" s="3" t="s">
        <v>22</v>
      </c>
      <c r="C1574" s="3" t="s">
        <v>9</v>
      </c>
      <c r="D1574" s="3" t="str">
        <f>IFERROR(__xludf.DUMMYFUNCTION("GOOGLETRANSLATE(A1574, ""en"", ""zh-CN"")"),"实际的")</f>
        <v>实际的</v>
      </c>
    </row>
    <row r="1575" ht="15.75" customHeight="1">
      <c r="A1575" s="3" t="s">
        <v>1598</v>
      </c>
      <c r="B1575" s="3" t="s">
        <v>12</v>
      </c>
      <c r="C1575" s="3" t="s">
        <v>9</v>
      </c>
      <c r="D1575" s="3" t="str">
        <f>IFERROR(__xludf.DUMMYFUNCTION("GOOGLETRANSLATE(A1575, ""en"", ""zh-CN"")"),"惩治")</f>
        <v>惩治</v>
      </c>
    </row>
    <row r="1576" ht="15.75" customHeight="1">
      <c r="A1576" s="3" t="s">
        <v>1599</v>
      </c>
      <c r="B1576" s="3" t="s">
        <v>8</v>
      </c>
      <c r="C1576" s="3" t="s">
        <v>6</v>
      </c>
      <c r="D1576" s="3" t="str">
        <f>IFERROR(__xludf.DUMMYFUNCTION("GOOGLETRANSLATE(A1576, ""en"", ""zh-CN"")"),"照片")</f>
        <v>照片</v>
      </c>
    </row>
    <row r="1577" ht="15.75" customHeight="1">
      <c r="A1577" s="3" t="s">
        <v>1600</v>
      </c>
      <c r="B1577" s="3" t="s">
        <v>8</v>
      </c>
      <c r="C1577" s="3" t="s">
        <v>6</v>
      </c>
      <c r="D1577" s="3" t="str">
        <f>IFERROR(__xludf.DUMMYFUNCTION("GOOGLETRANSLATE(A1577, ""en"", ""zh-CN"")"),"实践")</f>
        <v>实践</v>
      </c>
    </row>
    <row r="1578" ht="15.75" customHeight="1">
      <c r="A1578" s="3" t="s">
        <v>1601</v>
      </c>
      <c r="B1578" s="3" t="s">
        <v>8</v>
      </c>
      <c r="C1578" s="3" t="s">
        <v>9</v>
      </c>
      <c r="D1578" s="3" t="str">
        <f>IFERROR(__xludf.DUMMYFUNCTION("GOOGLETRANSLATE(A1578, ""en"", ""zh-CN"")"),"惩罚")</f>
        <v>惩罚</v>
      </c>
    </row>
    <row r="1579" ht="15.75" customHeight="1">
      <c r="A1579" s="3" t="s">
        <v>1602</v>
      </c>
      <c r="B1579" s="3" t="s">
        <v>12</v>
      </c>
      <c r="C1579" s="3" t="s">
        <v>6</v>
      </c>
      <c r="D1579" s="3" t="str">
        <f>IFERROR(__xludf.DUMMYFUNCTION("GOOGLETRANSLATE(A1579, ""en"", ""zh-CN"")"),"实践")</f>
        <v>实践</v>
      </c>
    </row>
    <row r="1580" ht="15.75" customHeight="1">
      <c r="A1580" s="3" t="s">
        <v>1603</v>
      </c>
      <c r="B1580" s="3" t="s">
        <v>8</v>
      </c>
      <c r="C1580" s="3" t="s">
        <v>13</v>
      </c>
      <c r="D1580" s="3" t="str">
        <f>IFERROR(__xludf.DUMMYFUNCTION("GOOGLETRANSLATE(A1580, ""en"", ""zh-CN"")"),"瞳孔")</f>
        <v>瞳孔</v>
      </c>
    </row>
    <row r="1581" ht="15.75" customHeight="1">
      <c r="A1581" s="3" t="s">
        <v>1604</v>
      </c>
      <c r="B1581" s="3" t="s">
        <v>8</v>
      </c>
      <c r="C1581" s="3" t="s">
        <v>9</v>
      </c>
      <c r="D1581" s="3" t="str">
        <f>IFERROR(__xludf.DUMMYFUNCTION("GOOGLETRANSLATE(A1581, ""en"", ""zh-CN"")"),"摄影师")</f>
        <v>摄影师</v>
      </c>
    </row>
    <row r="1582" ht="15.75" customHeight="1">
      <c r="A1582" s="3" t="s">
        <v>1605</v>
      </c>
      <c r="B1582" s="3" t="s">
        <v>8</v>
      </c>
      <c r="C1582" s="3" t="s">
        <v>9</v>
      </c>
      <c r="D1582" s="3" t="str">
        <f>IFERROR(__xludf.DUMMYFUNCTION("GOOGLETRANSLATE(A1582, ""en"", ""zh-CN"")"),"摄影")</f>
        <v>摄影</v>
      </c>
    </row>
    <row r="1583" ht="15.75" customHeight="1">
      <c r="A1583" s="3" t="s">
        <v>1606</v>
      </c>
      <c r="B1583" s="3" t="s">
        <v>12</v>
      </c>
      <c r="C1583" s="3" t="s">
        <v>9</v>
      </c>
      <c r="D1583" s="3" t="str">
        <f>IFERROR(__xludf.DUMMYFUNCTION("GOOGLETRANSLATE(A1583, ""en"", ""zh-CN"")"),"祈祷")</f>
        <v>祈祷</v>
      </c>
    </row>
    <row r="1584" ht="15.75" customHeight="1">
      <c r="A1584" s="3" t="s">
        <v>1607</v>
      </c>
      <c r="B1584" s="3" t="s">
        <v>22</v>
      </c>
      <c r="C1584" s="3" t="s">
        <v>13</v>
      </c>
      <c r="D1584" s="3" t="str">
        <f>IFERROR(__xludf.DUMMYFUNCTION("GOOGLETRANSLATE(A1584, ""en"", ""zh-CN"")"),"纯的")</f>
        <v>纯的</v>
      </c>
    </row>
    <row r="1585" ht="15.75" customHeight="1">
      <c r="A1585" s="3" t="s">
        <v>1608</v>
      </c>
      <c r="B1585" s="3" t="s">
        <v>8</v>
      </c>
      <c r="C1585" s="3" t="s">
        <v>6</v>
      </c>
      <c r="D1585" s="3" t="str">
        <f>IFERROR(__xludf.DUMMYFUNCTION("GOOGLETRANSLATE(A1585, ""en"", ""zh-CN"")"),"短语")</f>
        <v>短语</v>
      </c>
    </row>
    <row r="1586" ht="15.75" customHeight="1">
      <c r="A1586" s="3" t="s">
        <v>1609</v>
      </c>
      <c r="B1586" s="3" t="s">
        <v>8</v>
      </c>
      <c r="C1586" s="3" t="s">
        <v>9</v>
      </c>
      <c r="D1586" s="3" t="str">
        <f>IFERROR(__xludf.DUMMYFUNCTION("GOOGLETRANSLATE(A1586, ""en"", ""zh-CN"")"),"祷告")</f>
        <v>祷告</v>
      </c>
    </row>
    <row r="1587" ht="15.75" customHeight="1">
      <c r="A1587" s="3" t="s">
        <v>1610</v>
      </c>
      <c r="B1587" s="3" t="s">
        <v>22</v>
      </c>
      <c r="C1587" s="3" t="s">
        <v>16</v>
      </c>
      <c r="D1587" s="3" t="str">
        <f>IFERROR(__xludf.DUMMYFUNCTION("GOOGLETRANSLATE(A1587, ""en"", ""zh-CN"")"),"身体的")</f>
        <v>身体的</v>
      </c>
    </row>
    <row r="1588" ht="15.75" customHeight="1">
      <c r="A1588" s="3" t="s">
        <v>1611</v>
      </c>
      <c r="B1588" s="3" t="s">
        <v>12</v>
      </c>
      <c r="C1588" s="3" t="s">
        <v>16</v>
      </c>
      <c r="D1588" s="3" t="str">
        <f>IFERROR(__xludf.DUMMYFUNCTION("GOOGLETRANSLATE(A1588, ""en"", ""zh-CN"")"),"预测")</f>
        <v>预测</v>
      </c>
    </row>
    <row r="1589" ht="15.75" customHeight="1">
      <c r="A1589" s="3" t="s">
        <v>1612</v>
      </c>
      <c r="B1589" s="3" t="s">
        <v>8</v>
      </c>
      <c r="C1589" s="3" t="s">
        <v>16</v>
      </c>
      <c r="D1589" s="3" t="str">
        <f>IFERROR(__xludf.DUMMYFUNCTION("GOOGLETRANSLATE(A1589, ""en"", ""zh-CN"")"),"目的")</f>
        <v>目的</v>
      </c>
    </row>
    <row r="1590" ht="15.75" customHeight="1">
      <c r="A1590" s="3" t="s">
        <v>1613</v>
      </c>
      <c r="B1590" s="3" t="s">
        <v>8</v>
      </c>
      <c r="C1590" s="3" t="s">
        <v>16</v>
      </c>
      <c r="D1590" s="3" t="str">
        <f>IFERROR(__xludf.DUMMYFUNCTION("GOOGLETRANSLATE(A1590, ""en"", ""zh-CN"")"),"物理")</f>
        <v>物理</v>
      </c>
    </row>
    <row r="1591" ht="15.75" customHeight="1">
      <c r="A1591" s="3" t="s">
        <v>1614</v>
      </c>
      <c r="B1591" s="3" t="s">
        <v>8</v>
      </c>
      <c r="C1591" s="3" t="s">
        <v>9</v>
      </c>
      <c r="D1591" s="3" t="str">
        <f>IFERROR(__xludf.DUMMYFUNCTION("GOOGLETRANSLATE(A1591, ""en"", ""zh-CN"")"),"预言")</f>
        <v>预言</v>
      </c>
    </row>
    <row r="1592" ht="15.75" customHeight="1">
      <c r="A1592" s="3" t="s">
        <v>1615</v>
      </c>
      <c r="B1592" s="3" t="s">
        <v>12</v>
      </c>
      <c r="C1592" s="3" t="s">
        <v>13</v>
      </c>
      <c r="D1592" s="3" t="str">
        <f>IFERROR(__xludf.DUMMYFUNCTION("GOOGLETRANSLATE(A1592, ""en"", ""zh-CN"")"),"追求")</f>
        <v>追求</v>
      </c>
    </row>
    <row r="1593" ht="15.75" customHeight="1">
      <c r="A1593" s="3" t="s">
        <v>1616</v>
      </c>
      <c r="B1593" s="3" t="s">
        <v>8</v>
      </c>
      <c r="C1593" s="3" t="s">
        <v>6</v>
      </c>
      <c r="D1593" s="3" t="str">
        <f>IFERROR(__xludf.DUMMYFUNCTION("GOOGLETRANSLATE(A1593, ""en"", ""zh-CN"")"),"钢琴")</f>
        <v>钢琴</v>
      </c>
    </row>
    <row r="1594" ht="15.75" customHeight="1">
      <c r="A1594" s="3" t="s">
        <v>1617</v>
      </c>
      <c r="B1594" s="3" t="s">
        <v>12</v>
      </c>
      <c r="C1594" s="3" t="s">
        <v>6</v>
      </c>
      <c r="D1594" s="3" t="str">
        <f>IFERROR(__xludf.DUMMYFUNCTION("GOOGLETRANSLATE(A1594, ""en"", ""zh-CN"")"),"更喜欢")</f>
        <v>更喜欢</v>
      </c>
    </row>
    <row r="1595" ht="15.75" customHeight="1">
      <c r="A1595" s="3" t="s">
        <v>1618</v>
      </c>
      <c r="B1595" s="3" t="s">
        <v>22</v>
      </c>
      <c r="C1595" s="3" t="s">
        <v>13</v>
      </c>
      <c r="D1595" s="3" t="str">
        <f>IFERROR(__xludf.DUMMYFUNCTION("GOOGLETRANSLATE(A1595, ""en"", ""zh-CN"")"),"孕")</f>
        <v>孕</v>
      </c>
    </row>
    <row r="1596" ht="15.75" customHeight="1">
      <c r="A1596" s="3" t="s">
        <v>1619</v>
      </c>
      <c r="B1596" s="3" t="s">
        <v>12</v>
      </c>
      <c r="C1596" s="3" t="s">
        <v>6</v>
      </c>
      <c r="D1596" s="3" t="str">
        <f>IFERROR(__xludf.DUMMYFUNCTION("GOOGLETRANSLATE(A1596, ""en"", ""zh-CN"")"),"放")</f>
        <v>放</v>
      </c>
    </row>
    <row r="1597" ht="15.75" customHeight="1">
      <c r="A1597" s="3" t="s">
        <v>1620</v>
      </c>
      <c r="B1597" s="3" t="s">
        <v>8</v>
      </c>
      <c r="C1597" s="3" t="s">
        <v>9</v>
      </c>
      <c r="D1597" s="3" t="str">
        <f>IFERROR(__xludf.DUMMYFUNCTION("GOOGLETRANSLATE(A1597, ""en"", ""zh-CN"")"),"资格")</f>
        <v>资格</v>
      </c>
    </row>
    <row r="1598" ht="15.75" customHeight="1">
      <c r="A1598" s="3" t="s">
        <v>1621</v>
      </c>
      <c r="B1598" s="3" t="s">
        <v>8</v>
      </c>
      <c r="C1598" s="3" t="s">
        <v>16</v>
      </c>
      <c r="D1598" s="3" t="str">
        <f>IFERROR(__xludf.DUMMYFUNCTION("GOOGLETRANSLATE(A1598, ""en"", ""zh-CN"")"),"女王")</f>
        <v>女王</v>
      </c>
    </row>
    <row r="1599" ht="15.75" customHeight="1">
      <c r="A1599" s="3" t="s">
        <v>1622</v>
      </c>
      <c r="B1599" s="3" t="s">
        <v>20</v>
      </c>
      <c r="C1599" s="3" t="s">
        <v>16</v>
      </c>
      <c r="D1599" s="3" t="str">
        <f>IFERROR(__xludf.DUMMYFUNCTION("GOOGLETRANSLATE(A1599, ""en"", ""zh-CN"")"),"悄悄")</f>
        <v>悄悄</v>
      </c>
    </row>
    <row r="1600" ht="15.75" customHeight="1">
      <c r="A1600" s="3" t="s">
        <v>1623</v>
      </c>
      <c r="B1600" s="3" t="s">
        <v>22</v>
      </c>
      <c r="C1600" s="3" t="s">
        <v>9</v>
      </c>
      <c r="D1600" s="3" t="str">
        <f>IFERROR(__xludf.DUMMYFUNCTION("GOOGLETRANSLATE(A1600, ""en"", ""zh-CN"")"),"合格的")</f>
        <v>合格的</v>
      </c>
    </row>
    <row r="1601" ht="15.75" customHeight="1">
      <c r="A1601" s="3" t="s">
        <v>1624</v>
      </c>
      <c r="B1601" s="3" t="s">
        <v>12</v>
      </c>
      <c r="C1601" s="3" t="s">
        <v>9</v>
      </c>
      <c r="D1601" s="3" t="str">
        <f>IFERROR(__xludf.DUMMYFUNCTION("GOOGLETRANSLATE(A1601, ""en"", ""zh-CN"")"),"辞职")</f>
        <v>辞职</v>
      </c>
    </row>
    <row r="1602" ht="15.75" customHeight="1">
      <c r="A1602" s="3" t="s">
        <v>1625</v>
      </c>
      <c r="B1602" s="3" t="s">
        <v>12</v>
      </c>
      <c r="C1602" s="3" t="s">
        <v>9</v>
      </c>
      <c r="D1602" s="3" t="str">
        <f>IFERROR(__xludf.DUMMYFUNCTION("GOOGLETRANSLATE(A1602, ""en"", ""zh-CN"")"),"资格")</f>
        <v>资格</v>
      </c>
    </row>
    <row r="1603" ht="15.75" customHeight="1">
      <c r="A1603" s="3" t="s">
        <v>1626</v>
      </c>
      <c r="B1603" s="3" t="s">
        <v>20</v>
      </c>
      <c r="C1603" s="3" t="s">
        <v>6</v>
      </c>
      <c r="D1603" s="3" t="str">
        <f>IFERROR(__xludf.DUMMYFUNCTION("GOOGLETRANSLATE(A1603, ""en"", ""zh-CN"")"),"相当")</f>
        <v>相当</v>
      </c>
    </row>
    <row r="1604" ht="15.75" customHeight="1">
      <c r="A1604" s="3" t="s">
        <v>1627</v>
      </c>
      <c r="B1604" s="3" t="s">
        <v>8</v>
      </c>
      <c r="C1604" s="3" t="s">
        <v>16</v>
      </c>
      <c r="D1604" s="3" t="str">
        <f>IFERROR(__xludf.DUMMYFUNCTION("GOOGLETRANSLATE(A1604, ""en"", ""zh-CN"")"),"质量")</f>
        <v>质量</v>
      </c>
    </row>
    <row r="1605" ht="15.75" customHeight="1">
      <c r="A1605" s="3" t="s">
        <v>1628</v>
      </c>
      <c r="B1605" s="3" t="s">
        <v>22</v>
      </c>
      <c r="C1605" s="3" t="s">
        <v>6</v>
      </c>
      <c r="D1605" s="3" t="str">
        <f>IFERROR(__xludf.DUMMYFUNCTION("GOOGLETRANSLATE(A1605, ""en"", ""zh-CN"")"),"快的")</f>
        <v>快的</v>
      </c>
    </row>
    <row r="1606" ht="15.75" customHeight="1">
      <c r="A1606" s="3" t="s">
        <v>1629</v>
      </c>
      <c r="B1606" s="3" t="s">
        <v>8</v>
      </c>
      <c r="C1606" s="3" t="s">
        <v>9</v>
      </c>
      <c r="D1606" s="3" t="str">
        <f>IFERROR(__xludf.DUMMYFUNCTION("GOOGLETRANSLATE(A1606, ""en"", ""zh-CN"")"),"引述")</f>
        <v>引述</v>
      </c>
    </row>
    <row r="1607" ht="15.75" customHeight="1">
      <c r="A1607" s="3" t="s">
        <v>1630</v>
      </c>
      <c r="B1607" s="3" t="s">
        <v>8</v>
      </c>
      <c r="C1607" s="3" t="s">
        <v>16</v>
      </c>
      <c r="D1607" s="3" t="str">
        <f>IFERROR(__xludf.DUMMYFUNCTION("GOOGLETRANSLATE(A1607, ""en"", ""zh-CN"")"),"数量")</f>
        <v>数量</v>
      </c>
    </row>
    <row r="1608" ht="15.75" customHeight="1">
      <c r="A1608" s="3" t="s">
        <v>1631</v>
      </c>
      <c r="B1608" s="3" t="s">
        <v>20</v>
      </c>
      <c r="C1608" s="3" t="s">
        <v>6</v>
      </c>
      <c r="D1608" s="3" t="str">
        <f>IFERROR(__xludf.DUMMYFUNCTION("GOOGLETRANSLATE(A1608, ""en"", ""zh-CN"")"),"迅速地")</f>
        <v>迅速地</v>
      </c>
    </row>
    <row r="1609" ht="15.75" customHeight="1">
      <c r="A1609" s="3" t="s">
        <v>1632</v>
      </c>
      <c r="B1609" s="3" t="s">
        <v>8</v>
      </c>
      <c r="C1609" s="3" t="s">
        <v>6</v>
      </c>
      <c r="D1609" s="3" t="str">
        <f>IFERROR(__xludf.DUMMYFUNCTION("GOOGLETRANSLATE(A1609, ""en"", ""zh-CN"")"),"四分之一")</f>
        <v>四分之一</v>
      </c>
    </row>
    <row r="1610" ht="15.75" customHeight="1">
      <c r="A1610" s="3" t="s">
        <v>1633</v>
      </c>
      <c r="B1610" s="3" t="s">
        <v>22</v>
      </c>
      <c r="C1610" s="3" t="s">
        <v>6</v>
      </c>
      <c r="D1610" s="3" t="str">
        <f>IFERROR(__xludf.DUMMYFUNCTION("GOOGLETRANSLATE(A1610, ""en"", ""zh-CN"")"),"安静的")</f>
        <v>安静的</v>
      </c>
    </row>
    <row r="1611" ht="15.75" customHeight="1">
      <c r="A1611" s="3" t="s">
        <v>1634</v>
      </c>
      <c r="B1611" s="3" t="s">
        <v>22</v>
      </c>
      <c r="C1611" s="3" t="s">
        <v>9</v>
      </c>
      <c r="D1611" s="3" t="str">
        <f>IFERROR(__xludf.DUMMYFUNCTION("GOOGLETRANSLATE(A1611, ""en"", ""zh-CN"")"),"负责任的")</f>
        <v>负责任的</v>
      </c>
    </row>
    <row r="1612" ht="15.75" customHeight="1">
      <c r="A1612" s="3" t="s">
        <v>1635</v>
      </c>
      <c r="B1612" s="3" t="s">
        <v>22</v>
      </c>
      <c r="C1612" s="3" t="s">
        <v>16</v>
      </c>
      <c r="D1612" s="3" t="str">
        <f>IFERROR(__xludf.DUMMYFUNCTION("GOOGLETRANSLATE(A1612, ""en"", ""zh-CN"")"),"常规的")</f>
        <v>常规的</v>
      </c>
    </row>
    <row r="1613" ht="15.75" customHeight="1">
      <c r="A1613" s="3" t="s">
        <v>1636</v>
      </c>
      <c r="B1613" s="3" t="s">
        <v>8</v>
      </c>
      <c r="C1613" s="3" t="s">
        <v>9</v>
      </c>
      <c r="D1613" s="3" t="str">
        <f>IFERROR(__xludf.DUMMYFUNCTION("GOOGLETRANSLATE(A1613, ""en"", ""zh-CN"")"),"赛车")</f>
        <v>赛车</v>
      </c>
    </row>
    <row r="1614" ht="15.75" customHeight="1">
      <c r="A1614" s="3" t="s">
        <v>1637</v>
      </c>
      <c r="B1614" s="3" t="s">
        <v>20</v>
      </c>
      <c r="C1614" s="3" t="s">
        <v>9</v>
      </c>
      <c r="D1614" s="3" t="str">
        <f>IFERROR(__xludf.DUMMYFUNCTION("GOOGLETRANSLATE(A1614, ""en"", ""zh-CN"")"),"经常")</f>
        <v>经常</v>
      </c>
    </row>
    <row r="1615" ht="15.75" customHeight="1">
      <c r="A1615" s="3" t="s">
        <v>1638</v>
      </c>
      <c r="B1615" s="3" t="s">
        <v>8</v>
      </c>
      <c r="C1615" s="3" t="s">
        <v>6</v>
      </c>
      <c r="D1615" s="3" t="str">
        <f>IFERROR(__xludf.DUMMYFUNCTION("GOOGLETRANSLATE(A1615, ""en"", ""zh-CN"")"),"收音机")</f>
        <v>收音机</v>
      </c>
    </row>
    <row r="1616" ht="15.75" customHeight="1">
      <c r="A1616" s="3" t="s">
        <v>1639</v>
      </c>
      <c r="B1616" s="3" t="s">
        <v>8</v>
      </c>
      <c r="C1616" s="3" t="s">
        <v>13</v>
      </c>
      <c r="D1616" s="3" t="str">
        <f>IFERROR(__xludf.DUMMYFUNCTION("GOOGLETRANSLATE(A1616, ""en"", ""zh-CN"")"),"规定")</f>
        <v>规定</v>
      </c>
    </row>
    <row r="1617" ht="15.75" customHeight="1">
      <c r="A1617" s="3" t="s">
        <v>1640</v>
      </c>
      <c r="B1617" s="3" t="s">
        <v>8</v>
      </c>
      <c r="C1617" s="3" t="s">
        <v>6</v>
      </c>
      <c r="D1617" s="3" t="str">
        <f>IFERROR(__xludf.DUMMYFUNCTION("GOOGLETRANSLATE(A1617, ""en"", ""zh-CN"")"),"餐厅")</f>
        <v>餐厅</v>
      </c>
    </row>
    <row r="1618" ht="15.75" customHeight="1">
      <c r="A1618" s="3" t="s">
        <v>1641</v>
      </c>
      <c r="B1618" s="3" t="s">
        <v>8</v>
      </c>
      <c r="C1618" s="3" t="s">
        <v>16</v>
      </c>
      <c r="D1618" s="3" t="str">
        <f>IFERROR(__xludf.DUMMYFUNCTION("GOOGLETRANSLATE(A1618, ""en"", ""zh-CN"")"),"铁路")</f>
        <v>铁路</v>
      </c>
    </row>
    <row r="1619" ht="15.75" customHeight="1">
      <c r="A1619" s="3" t="s">
        <v>1642</v>
      </c>
      <c r="B1619" s="3" t="s">
        <v>12</v>
      </c>
      <c r="C1619" s="3" t="s">
        <v>9</v>
      </c>
      <c r="D1619" s="3" t="str">
        <f>IFERROR(__xludf.DUMMYFUNCTION("GOOGLETRANSLATE(A1619, ""en"", ""zh-CN"")"),"拒绝")</f>
        <v>拒绝</v>
      </c>
    </row>
    <row r="1620" ht="15.75" customHeight="1">
      <c r="A1620" s="3" t="s">
        <v>1643</v>
      </c>
      <c r="B1620" s="3" t="s">
        <v>12</v>
      </c>
      <c r="C1620" s="3" t="s">
        <v>9</v>
      </c>
      <c r="D1620" s="3" t="str">
        <f>IFERROR(__xludf.DUMMYFUNCTION("GOOGLETRANSLATE(A1620, ""en"", ""zh-CN"")"),"涉及")</f>
        <v>涉及</v>
      </c>
    </row>
    <row r="1621" ht="15.75" customHeight="1">
      <c r="A1621" s="3" t="s">
        <v>1644</v>
      </c>
      <c r="B1621" s="3" t="s">
        <v>12</v>
      </c>
      <c r="C1621" s="3" t="s">
        <v>13</v>
      </c>
      <c r="D1621" s="3" t="str">
        <f>IFERROR(__xludf.DUMMYFUNCTION("GOOGLETRANSLATE(A1621, ""en"", ""zh-CN"")"),"保持")</f>
        <v>保持</v>
      </c>
    </row>
    <row r="1622" ht="15.75" customHeight="1">
      <c r="A1622" s="3" t="s">
        <v>1645</v>
      </c>
      <c r="B1622" s="3" t="s">
        <v>12</v>
      </c>
      <c r="C1622" s="3" t="s">
        <v>16</v>
      </c>
      <c r="D1622" s="3" t="str">
        <f>IFERROR(__xludf.DUMMYFUNCTION("GOOGLETRANSLATE(A1622, ""en"", ""zh-CN"")"),"增加")</f>
        <v>增加</v>
      </c>
    </row>
    <row r="1623" ht="15.75" customHeight="1">
      <c r="A1623" s="3" t="s">
        <v>1646</v>
      </c>
      <c r="B1623" s="3" t="s">
        <v>22</v>
      </c>
      <c r="C1623" s="3" t="s">
        <v>9</v>
      </c>
      <c r="D1623" s="3" t="str">
        <f>IFERROR(__xludf.DUMMYFUNCTION("GOOGLETRANSLATE(A1623, ""en"", ""zh-CN"")"),"有关的")</f>
        <v>有关的</v>
      </c>
    </row>
    <row r="1624" ht="15.75" customHeight="1">
      <c r="A1624" s="3" t="s">
        <v>1647</v>
      </c>
      <c r="B1624" s="3" t="s">
        <v>12</v>
      </c>
      <c r="C1624" s="3" t="s">
        <v>9</v>
      </c>
      <c r="D1624" s="3" t="str">
        <f>IFERROR(__xludf.DUMMYFUNCTION("GOOGLETRANSLATE(A1624, ""en"", ""zh-CN"")"),"退休")</f>
        <v>退休</v>
      </c>
    </row>
    <row r="1625" ht="15.75" customHeight="1">
      <c r="A1625" s="3" t="s">
        <v>1648</v>
      </c>
      <c r="B1625" s="3" t="s">
        <v>8</v>
      </c>
      <c r="C1625" s="3" t="s">
        <v>9</v>
      </c>
      <c r="D1625" s="3" t="str">
        <f>IFERROR(__xludf.DUMMYFUNCTION("GOOGLETRANSLATE(A1625, ""en"", ""zh-CN"")"),"关系")</f>
        <v>关系</v>
      </c>
    </row>
    <row r="1626" ht="15.75" customHeight="1">
      <c r="A1626" s="3" t="s">
        <v>1649</v>
      </c>
      <c r="B1626" s="3" t="s">
        <v>22</v>
      </c>
      <c r="C1626" s="3" t="s">
        <v>9</v>
      </c>
      <c r="D1626" s="3" t="str">
        <f>IFERROR(__xludf.DUMMYFUNCTION("GOOGLETRANSLATE(A1626, ""en"", ""zh-CN"")"),"退休")</f>
        <v>退休</v>
      </c>
    </row>
    <row r="1627" ht="15.75" customHeight="1">
      <c r="A1627" s="3" t="s">
        <v>1650</v>
      </c>
      <c r="B1627" s="3" t="s">
        <v>8</v>
      </c>
      <c r="C1627" s="3" t="s">
        <v>16</v>
      </c>
      <c r="D1627" s="3" t="str">
        <f>IFERROR(__xludf.DUMMYFUNCTION("GOOGLETRANSLATE(A1627, ""en"", ""zh-CN"")"),"关系")</f>
        <v>关系</v>
      </c>
    </row>
    <row r="1628" ht="15.75" customHeight="1">
      <c r="A1628" s="3" t="s">
        <v>1651</v>
      </c>
      <c r="B1628" s="3" t="s">
        <v>22</v>
      </c>
      <c r="C1628" s="3" t="s">
        <v>13</v>
      </c>
      <c r="D1628" s="3" t="str">
        <f>IFERROR(__xludf.DUMMYFUNCTION("GOOGLETRANSLATE(A1628, ""en"", ""zh-CN"")"),"迅速的")</f>
        <v>迅速的</v>
      </c>
    </row>
    <row r="1629" ht="15.75" customHeight="1">
      <c r="A1629" s="3" t="s">
        <v>1652</v>
      </c>
      <c r="B1629" s="3" t="s">
        <v>12</v>
      </c>
      <c r="C1629" s="3" t="s">
        <v>13</v>
      </c>
      <c r="D1629" s="3" t="str">
        <f>IFERROR(__xludf.DUMMYFUNCTION("GOOGLETRANSLATE(A1629, ""en"", ""zh-CN"")"),"揭示")</f>
        <v>揭示</v>
      </c>
    </row>
    <row r="1630" ht="15.75" customHeight="1">
      <c r="A1630" s="3" t="s">
        <v>1653</v>
      </c>
      <c r="B1630" s="3" t="s">
        <v>20</v>
      </c>
      <c r="C1630" s="3" t="s">
        <v>13</v>
      </c>
      <c r="D1630" s="3" t="str">
        <f>IFERROR(__xludf.DUMMYFUNCTION("GOOGLETRANSLATE(A1630, ""en"", ""zh-CN"")"),"迅速")</f>
        <v>迅速</v>
      </c>
    </row>
    <row r="1631" ht="15.75" customHeight="1">
      <c r="A1631" s="3" t="s">
        <v>1654</v>
      </c>
      <c r="B1631" s="3" t="s">
        <v>20</v>
      </c>
      <c r="C1631" s="3" t="s">
        <v>13</v>
      </c>
      <c r="D1631" s="3" t="str">
        <f>IFERROR(__xludf.DUMMYFUNCTION("GOOGLETRANSLATE(A1631, ""en"", ""zh-CN"")"),"相对地")</f>
        <v>相对地</v>
      </c>
    </row>
    <row r="1632" ht="15.75" customHeight="1">
      <c r="A1632" s="3" t="s">
        <v>1655</v>
      </c>
      <c r="B1632" s="3" t="s">
        <v>22</v>
      </c>
      <c r="C1632" s="3" t="s">
        <v>9</v>
      </c>
      <c r="D1632" s="3" t="str">
        <f>IFERROR(__xludf.DUMMYFUNCTION("GOOGLETRANSLATE(A1632, ""en"", ""zh-CN"")"),"稀有的")</f>
        <v>稀有的</v>
      </c>
    </row>
    <row r="1633" ht="15.75" customHeight="1">
      <c r="A1633" s="3" t="s">
        <v>1656</v>
      </c>
      <c r="B1633" s="3" t="s">
        <v>12</v>
      </c>
      <c r="C1633" s="3" t="s">
        <v>6</v>
      </c>
      <c r="D1633" s="3" t="str">
        <f>IFERROR(__xludf.DUMMYFUNCTION("GOOGLETRANSLATE(A1633, ""en"", ""zh-CN"")"),"放松")</f>
        <v>放松</v>
      </c>
    </row>
    <row r="1634" ht="15.75" customHeight="1">
      <c r="A1634" s="3" t="s">
        <v>1657</v>
      </c>
      <c r="B1634" s="3" t="s">
        <v>12</v>
      </c>
      <c r="C1634" s="3" t="s">
        <v>9</v>
      </c>
      <c r="D1634" s="3" t="str">
        <f>IFERROR(__xludf.DUMMYFUNCTION("GOOGLETRANSLATE(A1634, ""en"", ""zh-CN"")"),"修订")</f>
        <v>修订</v>
      </c>
    </row>
    <row r="1635" ht="15.75" customHeight="1">
      <c r="A1635" s="3" t="s">
        <v>1658</v>
      </c>
      <c r="B1635" s="3" t="s">
        <v>20</v>
      </c>
      <c r="C1635" s="3" t="s">
        <v>9</v>
      </c>
      <c r="D1635" s="3" t="str">
        <f>IFERROR(__xludf.DUMMYFUNCTION("GOOGLETRANSLATE(A1635, ""en"", ""zh-CN"")"),"很少")</f>
        <v>很少</v>
      </c>
    </row>
    <row r="1636" ht="15.75" customHeight="1">
      <c r="A1636" s="3" t="s">
        <v>1659</v>
      </c>
      <c r="B1636" s="3" t="s">
        <v>22</v>
      </c>
      <c r="C1636" s="3" t="s">
        <v>9</v>
      </c>
      <c r="D1636" s="3" t="str">
        <f>IFERROR(__xludf.DUMMYFUNCTION("GOOGLETRANSLATE(A1636, ""en"", ""zh-CN"")"),"轻松")</f>
        <v>轻松</v>
      </c>
    </row>
    <row r="1637" ht="15.75" customHeight="1">
      <c r="A1637" s="3" t="s">
        <v>1660</v>
      </c>
      <c r="B1637" s="3" t="s">
        <v>8</v>
      </c>
      <c r="C1637" s="3" t="s">
        <v>13</v>
      </c>
      <c r="D1637" s="3" t="str">
        <f>IFERROR(__xludf.DUMMYFUNCTION("GOOGLETRANSLATE(A1637, ""en"", ""zh-CN"")"),"革命")</f>
        <v>革命</v>
      </c>
    </row>
    <row r="1638" ht="15.75" customHeight="1">
      <c r="A1638" s="3" t="s">
        <v>1661</v>
      </c>
      <c r="B1638" s="3" t="s">
        <v>22</v>
      </c>
      <c r="C1638" s="3" t="s">
        <v>9</v>
      </c>
      <c r="D1638" s="3" t="str">
        <f>IFERROR(__xludf.DUMMYFUNCTION("GOOGLETRANSLATE(A1638, ""en"", ""zh-CN"")"),"放松")</f>
        <v>放松</v>
      </c>
    </row>
    <row r="1639" ht="15.75" customHeight="1">
      <c r="A1639" s="3" t="s">
        <v>1662</v>
      </c>
      <c r="B1639" s="3" t="s">
        <v>20</v>
      </c>
      <c r="C1639" s="3" t="s">
        <v>16</v>
      </c>
      <c r="D1639" s="3" t="str">
        <f>IFERROR(__xludf.DUMMYFUNCTION("GOOGLETRANSLATE(A1639, ""en"", ""zh-CN"")"),"相当")</f>
        <v>相当</v>
      </c>
    </row>
    <row r="1640" ht="15.75" customHeight="1">
      <c r="A1640" s="3" t="s">
        <v>1663</v>
      </c>
      <c r="B1640" s="3" t="s">
        <v>8</v>
      </c>
      <c r="C1640" s="3" t="s">
        <v>13</v>
      </c>
      <c r="D1640" s="3" t="str">
        <f>IFERROR(__xludf.DUMMYFUNCTION("GOOGLETRANSLATE(A1640, ""en"", ""zh-CN"")"),"韵律")</f>
        <v>韵律</v>
      </c>
    </row>
    <row r="1641" ht="15.75" customHeight="1">
      <c r="A1641" s="3" t="s">
        <v>1664</v>
      </c>
      <c r="B1641" s="3" t="s">
        <v>22</v>
      </c>
      <c r="C1641" s="3" t="s">
        <v>13</v>
      </c>
      <c r="D1641" s="3" t="str">
        <f>IFERROR(__xludf.DUMMYFUNCTION("GOOGLETRANSLATE(A1641, ""en"", ""zh-CN"")"),"生的")</f>
        <v>生的</v>
      </c>
    </row>
    <row r="1642" ht="15.75" customHeight="1">
      <c r="A1642" s="3" t="s">
        <v>1665</v>
      </c>
      <c r="B1642" s="3" t="s">
        <v>22</v>
      </c>
      <c r="C1642" s="3" t="s">
        <v>13</v>
      </c>
      <c r="D1642" s="3" t="str">
        <f>IFERROR(__xludf.DUMMYFUNCTION("GOOGLETRANSLATE(A1642, ""en"", ""zh-CN"")"),"相关的")</f>
        <v>相关的</v>
      </c>
    </row>
    <row r="1643" ht="15.75" customHeight="1">
      <c r="A1643" s="3" t="s">
        <v>1666</v>
      </c>
      <c r="B1643" s="3" t="s">
        <v>8</v>
      </c>
      <c r="C1643" s="3" t="s">
        <v>6</v>
      </c>
      <c r="D1643" s="3" t="str">
        <f>IFERROR(__xludf.DUMMYFUNCTION("GOOGLETRANSLATE(A1643, ""en"", ""zh-CN"")"),"米")</f>
        <v>米</v>
      </c>
    </row>
    <row r="1644" ht="15.75" customHeight="1">
      <c r="A1644" s="3" t="s">
        <v>1667</v>
      </c>
      <c r="B1644" s="3" t="s">
        <v>22</v>
      </c>
      <c r="C1644" s="3" t="s">
        <v>9</v>
      </c>
      <c r="D1644" s="3" t="str">
        <f>IFERROR(__xludf.DUMMYFUNCTION("GOOGLETRANSLATE(A1644, ""en"", ""zh-CN"")"),"可靠的")</f>
        <v>可靠的</v>
      </c>
    </row>
    <row r="1645" ht="15.75" customHeight="1">
      <c r="A1645" s="3" t="s">
        <v>1668</v>
      </c>
      <c r="B1645" s="3" t="s">
        <v>22</v>
      </c>
      <c r="C1645" s="3" t="s">
        <v>6</v>
      </c>
      <c r="D1645" s="3" t="str">
        <f>IFERROR(__xludf.DUMMYFUNCTION("GOOGLETRANSLATE(A1645, ""en"", ""zh-CN"")"),"富有的")</f>
        <v>富有的</v>
      </c>
    </row>
    <row r="1646" ht="15.75" customHeight="1">
      <c r="A1646" s="3" t="s">
        <v>1669</v>
      </c>
      <c r="B1646" s="3" t="s">
        <v>12</v>
      </c>
      <c r="C1646" s="3" t="s">
        <v>16</v>
      </c>
      <c r="D1646" s="3" t="str">
        <f>IFERROR(__xludf.DUMMYFUNCTION("GOOGLETRANSLATE(A1646, ""en"", ""zh-CN"")"),"反应")</f>
        <v>反应</v>
      </c>
    </row>
    <row r="1647" ht="15.75" customHeight="1">
      <c r="A1647" s="3" t="s">
        <v>1670</v>
      </c>
      <c r="B1647" s="3" t="s">
        <v>8</v>
      </c>
      <c r="C1647" s="3" t="s">
        <v>13</v>
      </c>
      <c r="D1647" s="3" t="str">
        <f>IFERROR(__xludf.DUMMYFUNCTION("GOOGLETRANSLATE(A1647, ""en"", ""zh-CN"")"),"宽慰")</f>
        <v>宽慰</v>
      </c>
    </row>
    <row r="1648" ht="15.75" customHeight="1">
      <c r="A1648" s="3" t="s">
        <v>1671</v>
      </c>
      <c r="B1648" s="3" t="s">
        <v>12</v>
      </c>
      <c r="C1648" s="3" t="s">
        <v>13</v>
      </c>
      <c r="D1648" s="3" t="str">
        <f>IFERROR(__xludf.DUMMYFUNCTION("GOOGLETRANSLATE(A1648, ""en"", ""zh-CN"")"),"骑")</f>
        <v>骑</v>
      </c>
    </row>
    <row r="1649" ht="15.75" customHeight="1">
      <c r="A1649" s="3" t="s">
        <v>1672</v>
      </c>
      <c r="B1649" s="3" t="s">
        <v>8</v>
      </c>
      <c r="C1649" s="3" t="s">
        <v>9</v>
      </c>
      <c r="D1649" s="3" t="str">
        <f>IFERROR(__xludf.DUMMYFUNCTION("GOOGLETRANSLATE(A1649, ""en"", ""zh-CN"")"),"反应")</f>
        <v>反应</v>
      </c>
    </row>
    <row r="1650" ht="15.75" customHeight="1">
      <c r="A1650" s="3" t="s">
        <v>1673</v>
      </c>
      <c r="B1650" s="3" t="s">
        <v>8</v>
      </c>
      <c r="C1650" s="3" t="s">
        <v>9</v>
      </c>
      <c r="D1650" s="3" t="str">
        <f>IFERROR(__xludf.DUMMYFUNCTION("GOOGLETRANSLATE(A1650, ""en"", ""zh-CN"")"),"宗教")</f>
        <v>宗教</v>
      </c>
    </row>
    <row r="1651" ht="15.75" customHeight="1">
      <c r="A1651" s="3" t="s">
        <v>1674</v>
      </c>
      <c r="B1651" s="3" t="s">
        <v>12</v>
      </c>
      <c r="C1651" s="3" t="s">
        <v>6</v>
      </c>
      <c r="D1651" s="3" t="str">
        <f>IFERROR(__xludf.DUMMYFUNCTION("GOOGLETRANSLATE(A1651, ""en"", ""zh-CN"")"),"读")</f>
        <v>读</v>
      </c>
    </row>
    <row r="1652" ht="15.75" customHeight="1">
      <c r="A1652" s="3" t="s">
        <v>1675</v>
      </c>
      <c r="B1652" s="3" t="s">
        <v>22</v>
      </c>
      <c r="C1652" s="3" t="s">
        <v>9</v>
      </c>
      <c r="D1652" s="3" t="str">
        <f>IFERROR(__xludf.DUMMYFUNCTION("GOOGLETRANSLATE(A1652, ""en"", ""zh-CN"")"),"宗教")</f>
        <v>宗教</v>
      </c>
    </row>
    <row r="1653" ht="15.75" customHeight="1">
      <c r="A1653" s="3" t="s">
        <v>1676</v>
      </c>
      <c r="B1653" s="3" t="s">
        <v>8</v>
      </c>
      <c r="C1653" s="3" t="s">
        <v>6</v>
      </c>
      <c r="D1653" s="3" t="str">
        <f>IFERROR(__xludf.DUMMYFUNCTION("GOOGLETRANSLATE(A1653, ""en"", ""zh-CN"")"),"读者")</f>
        <v>读者</v>
      </c>
    </row>
    <row r="1654" ht="15.75" customHeight="1">
      <c r="A1654" s="3" t="s">
        <v>1677</v>
      </c>
      <c r="B1654" s="3" t="s">
        <v>12</v>
      </c>
      <c r="C1654" s="3" t="s">
        <v>13</v>
      </c>
      <c r="D1654" s="3" t="str">
        <f>IFERROR(__xludf.DUMMYFUNCTION("GOOGLETRANSLATE(A1654, ""en"", ""zh-CN"")"),"依靠")</f>
        <v>依靠</v>
      </c>
    </row>
    <row r="1655" ht="15.75" customHeight="1">
      <c r="A1655" s="3" t="s">
        <v>1678</v>
      </c>
      <c r="B1655" s="3" t="s">
        <v>8</v>
      </c>
      <c r="C1655" s="3" t="s">
        <v>16</v>
      </c>
      <c r="D1655" s="3" t="str">
        <f>IFERROR(__xludf.DUMMYFUNCTION("GOOGLETRANSLATE(A1655, ""en"", ""zh-CN"")"),"ring1")</f>
        <v>ring1</v>
      </c>
    </row>
    <row r="1656" ht="15.75" customHeight="1">
      <c r="A1656" s="3" t="s">
        <v>1679</v>
      </c>
      <c r="B1656" s="3" t="s">
        <v>8</v>
      </c>
      <c r="C1656" s="3" t="s">
        <v>6</v>
      </c>
      <c r="D1656" s="3" t="str">
        <f>IFERROR(__xludf.DUMMYFUNCTION("GOOGLETRANSLATE(A1656, ""en"", ""zh-CN"")"),"阅读")</f>
        <v>阅读</v>
      </c>
    </row>
    <row r="1657" ht="15.75" customHeight="1">
      <c r="A1657" s="3" t="s">
        <v>1680</v>
      </c>
      <c r="B1657" s="3" t="s">
        <v>12</v>
      </c>
      <c r="C1657" s="3" t="s">
        <v>9</v>
      </c>
      <c r="D1657" s="3" t="str">
        <f>IFERROR(__xludf.DUMMYFUNCTION("GOOGLETRANSLATE(A1657, ""en"", ""zh-CN"")"),"保持")</f>
        <v>保持</v>
      </c>
    </row>
    <row r="1658" ht="15.75" customHeight="1">
      <c r="A1658" s="3" t="s">
        <v>1681</v>
      </c>
      <c r="B1658" s="3" t="s">
        <v>22</v>
      </c>
      <c r="C1658" s="3" t="s">
        <v>6</v>
      </c>
      <c r="D1658" s="3" t="str">
        <f>IFERROR(__xludf.DUMMYFUNCTION("GOOGLETRANSLATE(A1658, ""en"", ""zh-CN"")"),"准备好")</f>
        <v>准备好</v>
      </c>
    </row>
    <row r="1659" ht="15.75" customHeight="1">
      <c r="A1659" s="3" t="s">
        <v>1682</v>
      </c>
      <c r="B1659" s="3" t="s">
        <v>22</v>
      </c>
      <c r="C1659" s="3" t="s">
        <v>6</v>
      </c>
      <c r="D1659" s="3" t="str">
        <f>IFERROR(__xludf.DUMMYFUNCTION("GOOGLETRANSLATE(A1659, ""en"", ""zh-CN"")"),"真实的")</f>
        <v>真实的</v>
      </c>
    </row>
    <row r="1660" ht="15.75" customHeight="1">
      <c r="A1660" s="3" t="s">
        <v>1683</v>
      </c>
      <c r="B1660" s="3" t="s">
        <v>12</v>
      </c>
      <c r="C1660" s="3" t="s">
        <v>6</v>
      </c>
      <c r="D1660" s="3" t="str">
        <f>IFERROR(__xludf.DUMMYFUNCTION("GOOGLETRANSLATE(A1660, ""en"", ""zh-CN"")"),"记住")</f>
        <v>记住</v>
      </c>
    </row>
    <row r="1661" ht="15.75" customHeight="1">
      <c r="A1661" s="3" t="s">
        <v>1684</v>
      </c>
      <c r="B1661" s="3" t="s">
        <v>22</v>
      </c>
      <c r="C1661" s="3" t="s">
        <v>13</v>
      </c>
      <c r="D1661" s="3" t="str">
        <f>IFERROR(__xludf.DUMMYFUNCTION("GOOGLETRANSLATE(A1661, ""en"", ""zh-CN"")"),"实际的")</f>
        <v>实际的</v>
      </c>
    </row>
    <row r="1662" ht="15.75" customHeight="1">
      <c r="A1662" s="3" t="s">
        <v>1685</v>
      </c>
      <c r="B1662" s="3" t="s">
        <v>12</v>
      </c>
      <c r="C1662" s="3" t="s">
        <v>9</v>
      </c>
      <c r="D1662" s="3" t="str">
        <f>IFERROR(__xludf.DUMMYFUNCTION("GOOGLETRANSLATE(A1662, ""en"", ""zh-CN"")"),"提醒")</f>
        <v>提醒</v>
      </c>
    </row>
    <row r="1663" ht="15.75" customHeight="1">
      <c r="A1663" s="3" t="s">
        <v>1686</v>
      </c>
      <c r="B1663" s="3" t="s">
        <v>8</v>
      </c>
      <c r="C1663" s="3" t="s">
        <v>6</v>
      </c>
      <c r="D1663" s="3" t="str">
        <f>IFERROR(__xludf.DUMMYFUNCTION("GOOGLETRANSLATE(A1663, ""en"", ""zh-CN"")"),"河")</f>
        <v>河</v>
      </c>
    </row>
    <row r="1664" ht="15.75" customHeight="1">
      <c r="A1664" s="3" t="s">
        <v>1687</v>
      </c>
      <c r="B1664" s="3" t="s">
        <v>8</v>
      </c>
      <c r="C1664" s="3" t="s">
        <v>9</v>
      </c>
      <c r="D1664" s="3" t="str">
        <f>IFERROR(__xludf.DUMMYFUNCTION("GOOGLETRANSLATE(A1664, ""en"", ""zh-CN"")"),"现实")</f>
        <v>现实</v>
      </c>
    </row>
    <row r="1665" ht="15.75" customHeight="1">
      <c r="A1665" s="3" t="s">
        <v>1688</v>
      </c>
      <c r="B1665" s="3" t="s">
        <v>22</v>
      </c>
      <c r="C1665" s="3" t="s">
        <v>9</v>
      </c>
      <c r="D1665" s="3" t="str">
        <f>IFERROR(__xludf.DUMMYFUNCTION("GOOGLETRANSLATE(A1665, ""en"", ""zh-CN"")"),"偏僻的")</f>
        <v>偏僻的</v>
      </c>
    </row>
    <row r="1666" ht="15.75" customHeight="1">
      <c r="A1666" s="3" t="s">
        <v>1689</v>
      </c>
      <c r="B1666" s="3" t="s">
        <v>8</v>
      </c>
      <c r="C1666" s="3" t="s">
        <v>6</v>
      </c>
      <c r="D1666" s="3" t="str">
        <f>IFERROR(__xludf.DUMMYFUNCTION("GOOGLETRANSLATE(A1666, ""en"", ""zh-CN"")"),"路")</f>
        <v>路</v>
      </c>
    </row>
    <row r="1667" ht="15.75" customHeight="1">
      <c r="A1667" s="3" t="s">
        <v>1690</v>
      </c>
      <c r="B1667" s="3" t="s">
        <v>12</v>
      </c>
      <c r="C1667" s="3" t="s">
        <v>16</v>
      </c>
      <c r="D1667" s="3" t="str">
        <f>IFERROR(__xludf.DUMMYFUNCTION("GOOGLETRANSLATE(A1667, ""en"", ""zh-CN"")"),"意识到")</f>
        <v>意识到</v>
      </c>
    </row>
    <row r="1668" ht="15.75" customHeight="1">
      <c r="A1668" s="3" t="s">
        <v>1691</v>
      </c>
      <c r="B1668" s="3" t="s">
        <v>12</v>
      </c>
      <c r="C1668" s="3" t="s">
        <v>16</v>
      </c>
      <c r="D1668" s="3" t="str">
        <f>IFERROR(__xludf.DUMMYFUNCTION("GOOGLETRANSLATE(A1668, ""en"", ""zh-CN"")"),"消除")</f>
        <v>消除</v>
      </c>
    </row>
    <row r="1669" ht="15.75" customHeight="1">
      <c r="A1669" s="3" t="s">
        <v>1692</v>
      </c>
      <c r="B1669" s="3" t="s">
        <v>8</v>
      </c>
      <c r="C1669" s="3" t="s">
        <v>9</v>
      </c>
      <c r="D1669" s="3" t="str">
        <f>IFERROR(__xludf.DUMMYFUNCTION("GOOGLETRANSLATE(A1669, ""en"", ""zh-CN"")"),"机器人")</f>
        <v>机器人</v>
      </c>
    </row>
    <row r="1670" ht="15.75" customHeight="1">
      <c r="A1670" s="3" t="s">
        <v>1693</v>
      </c>
      <c r="B1670" s="3" t="s">
        <v>20</v>
      </c>
      <c r="C1670" s="3" t="s">
        <v>6</v>
      </c>
      <c r="D1670" s="3" t="str">
        <f>IFERROR(__xludf.DUMMYFUNCTION("GOOGLETRANSLATE(A1670, ""en"", ""zh-CN"")"),"真的")</f>
        <v>真的</v>
      </c>
    </row>
    <row r="1671" ht="15.75" customHeight="1">
      <c r="A1671" s="3" t="s">
        <v>1694</v>
      </c>
      <c r="B1671" s="3" t="s">
        <v>8</v>
      </c>
      <c r="C1671" s="3" t="s">
        <v>6</v>
      </c>
      <c r="D1671" s="3" t="str">
        <f>IFERROR(__xludf.DUMMYFUNCTION("GOOGLETRANSLATE(A1671, ""en"", ""zh-CN"")"),"原因")</f>
        <v>原因</v>
      </c>
    </row>
    <row r="1672" ht="15.75" customHeight="1">
      <c r="A1672" s="3" t="s">
        <v>1695</v>
      </c>
      <c r="B1672" s="3" t="s">
        <v>22</v>
      </c>
      <c r="C1672" s="3" t="s">
        <v>13</v>
      </c>
      <c r="D1672" s="3" t="str">
        <f>IFERROR(__xludf.DUMMYFUNCTION("GOOGLETRANSLATE(A1672, ""en"", ""zh-CN"")"),"合理的")</f>
        <v>合理的</v>
      </c>
    </row>
    <row r="1673" ht="15.75" customHeight="1">
      <c r="A1673" s="3" t="s">
        <v>1696</v>
      </c>
      <c r="B1673" s="3" t="s">
        <v>8</v>
      </c>
      <c r="C1673" s="3" t="s">
        <v>16</v>
      </c>
      <c r="D1673" s="3" t="str">
        <f>IFERROR(__xludf.DUMMYFUNCTION("GOOGLETRANSLATE(A1673, ""en"", ""zh-CN"")"),"角色")</f>
        <v>角色</v>
      </c>
    </row>
    <row r="1674" ht="15.75" customHeight="1">
      <c r="A1674" s="3" t="s">
        <v>1697</v>
      </c>
      <c r="B1674" s="3" t="s">
        <v>12</v>
      </c>
      <c r="C1674" s="3" t="s">
        <v>13</v>
      </c>
      <c r="D1674" s="3" t="str">
        <f>IFERROR(__xludf.DUMMYFUNCTION("GOOGLETRANSLATE(A1674, ""en"", ""zh-CN"")"),"记起")</f>
        <v>记起</v>
      </c>
    </row>
    <row r="1675" ht="15.75" customHeight="1">
      <c r="A1675" s="3" t="s">
        <v>1698</v>
      </c>
      <c r="B1675" s="3" t="s">
        <v>22</v>
      </c>
      <c r="C1675" s="3" t="s">
        <v>9</v>
      </c>
      <c r="D1675" s="3" t="str">
        <f>IFERROR(__xludf.DUMMYFUNCTION("GOOGLETRANSLATE(A1675, ""en"", ""zh-CN"")"),"重复")</f>
        <v>重复</v>
      </c>
    </row>
    <row r="1676" ht="15.75" customHeight="1">
      <c r="A1676" s="3" t="s">
        <v>1699</v>
      </c>
      <c r="B1676" s="3" t="s">
        <v>8</v>
      </c>
      <c r="C1676" s="3" t="s">
        <v>9</v>
      </c>
      <c r="D1676" s="3" t="str">
        <f>IFERROR(__xludf.DUMMYFUNCTION("GOOGLETRANSLATE(A1676, ""en"", ""zh-CN"")"),"收据")</f>
        <v>收据</v>
      </c>
    </row>
    <row r="1677" ht="15.75" customHeight="1">
      <c r="A1677" s="3" t="s">
        <v>1700</v>
      </c>
      <c r="B1677" s="3" t="s">
        <v>12</v>
      </c>
      <c r="C1677" s="3" t="s">
        <v>16</v>
      </c>
      <c r="D1677" s="3" t="str">
        <f>IFERROR(__xludf.DUMMYFUNCTION("GOOGLETRANSLATE(A1677, ""en"", ""zh-CN"")"),"代替")</f>
        <v>代替</v>
      </c>
    </row>
    <row r="1678" ht="15.75" customHeight="1">
      <c r="A1678" s="3" t="s">
        <v>1701</v>
      </c>
      <c r="B1678" s="3" t="s">
        <v>22</v>
      </c>
      <c r="C1678" s="3" t="s">
        <v>9</v>
      </c>
      <c r="D1678" s="3" t="str">
        <f>IFERROR(__xludf.DUMMYFUNCTION("GOOGLETRANSLATE(A1678, ""en"", ""zh-CN"")"),"浪漫的")</f>
        <v>浪漫的</v>
      </c>
    </row>
    <row r="1679" ht="15.75" customHeight="1">
      <c r="A1679" s="3" t="s">
        <v>1702</v>
      </c>
      <c r="B1679" s="3" t="s">
        <v>12</v>
      </c>
      <c r="C1679" s="3" t="s">
        <v>16</v>
      </c>
      <c r="D1679" s="3" t="str">
        <f>IFERROR(__xludf.DUMMYFUNCTION("GOOGLETRANSLATE(A1679, ""en"", ""zh-CN"")"),"收到")</f>
        <v>收到</v>
      </c>
    </row>
    <row r="1680" ht="15.75" customHeight="1">
      <c r="A1680" s="3" t="s">
        <v>1703</v>
      </c>
      <c r="B1680" s="3" t="s">
        <v>8</v>
      </c>
      <c r="C1680" s="3" t="s">
        <v>16</v>
      </c>
      <c r="D1680" s="3" t="str">
        <f>IFERROR(__xludf.DUMMYFUNCTION("GOOGLETRANSLATE(A1680, ""en"", ""zh-CN"")"),"屋顶")</f>
        <v>屋顶</v>
      </c>
    </row>
    <row r="1681" ht="15.75" customHeight="1">
      <c r="A1681" s="3" t="s">
        <v>1704</v>
      </c>
      <c r="B1681" s="3" t="s">
        <v>22</v>
      </c>
      <c r="C1681" s="3" t="s">
        <v>16</v>
      </c>
      <c r="D1681" s="3" t="str">
        <f>IFERROR(__xludf.DUMMYFUNCTION("GOOGLETRANSLATE(A1681, ""en"", ""zh-CN"")"),"最近的")</f>
        <v>最近的</v>
      </c>
    </row>
    <row r="1682" ht="15.75" customHeight="1">
      <c r="A1682" s="3" t="s">
        <v>1705</v>
      </c>
      <c r="B1682" s="3" t="s">
        <v>8</v>
      </c>
      <c r="C1682" s="3" t="s">
        <v>6</v>
      </c>
      <c r="D1682" s="3" t="str">
        <f>IFERROR(__xludf.DUMMYFUNCTION("GOOGLETRANSLATE(A1682, ""en"", ""zh-CN"")"),"房间")</f>
        <v>房间</v>
      </c>
    </row>
    <row r="1683" ht="15.75" customHeight="1">
      <c r="A1683" s="3" t="s">
        <v>1706</v>
      </c>
      <c r="B1683" s="3" t="s">
        <v>20</v>
      </c>
      <c r="C1683" s="3" t="s">
        <v>16</v>
      </c>
      <c r="D1683" s="3" t="str">
        <f>IFERROR(__xludf.DUMMYFUNCTION("GOOGLETRANSLATE(A1683, ""en"", ""zh-CN"")"),"最近")</f>
        <v>最近</v>
      </c>
    </row>
    <row r="1684" ht="15.75" customHeight="1">
      <c r="A1684" s="3" t="s">
        <v>1707</v>
      </c>
      <c r="B1684" s="3" t="s">
        <v>8</v>
      </c>
      <c r="C1684" s="3" t="s">
        <v>16</v>
      </c>
      <c r="D1684" s="3" t="str">
        <f>IFERROR(__xludf.DUMMYFUNCTION("GOOGLETRANSLATE(A1684, ""en"", ""zh-CN"")"),"记者")</f>
        <v>记者</v>
      </c>
    </row>
    <row r="1685" ht="15.75" customHeight="1">
      <c r="A1685" s="3" t="s">
        <v>1708</v>
      </c>
      <c r="B1685" s="3" t="s">
        <v>8</v>
      </c>
      <c r="C1685" s="3" t="s">
        <v>13</v>
      </c>
      <c r="D1685" s="3" t="str">
        <f>IFERROR(__xludf.DUMMYFUNCTION("GOOGLETRANSLATE(A1685, ""en"", ""zh-CN"")"),"根")</f>
        <v>根</v>
      </c>
    </row>
    <row r="1686" ht="15.75" customHeight="1">
      <c r="A1686" s="3" t="s">
        <v>1709</v>
      </c>
      <c r="B1686" s="3" t="s">
        <v>8</v>
      </c>
      <c r="C1686" s="3" t="s">
        <v>16</v>
      </c>
      <c r="D1686" s="3" t="str">
        <f>IFERROR(__xludf.DUMMYFUNCTION("GOOGLETRANSLATE(A1686, ""en"", ""zh-CN"")"),"接待")</f>
        <v>接待</v>
      </c>
    </row>
    <row r="1687" ht="15.75" customHeight="1">
      <c r="A1687" s="3" t="s">
        <v>1710</v>
      </c>
      <c r="B1687" s="3" t="s">
        <v>12</v>
      </c>
      <c r="C1687" s="3" t="s">
        <v>9</v>
      </c>
      <c r="D1687" s="3" t="str">
        <f>IFERROR(__xludf.DUMMYFUNCTION("GOOGLETRANSLATE(A1687, ""en"", ""zh-CN"")"),"代表")</f>
        <v>代表</v>
      </c>
    </row>
    <row r="1688" ht="15.75" customHeight="1">
      <c r="A1688" s="3" t="s">
        <v>1711</v>
      </c>
      <c r="B1688" s="3" t="s">
        <v>8</v>
      </c>
      <c r="C1688" s="3" t="s">
        <v>9</v>
      </c>
      <c r="D1688" s="3" t="str">
        <f>IFERROR(__xludf.DUMMYFUNCTION("GOOGLETRANSLATE(A1688, ""en"", ""zh-CN"")"),"绳索")</f>
        <v>绳索</v>
      </c>
    </row>
    <row r="1689" ht="15.75" customHeight="1">
      <c r="A1689" s="3" t="s">
        <v>1712</v>
      </c>
      <c r="B1689" s="3" t="s">
        <v>8</v>
      </c>
      <c r="C1689" s="3" t="s">
        <v>16</v>
      </c>
      <c r="D1689" s="3" t="str">
        <f>IFERROR(__xludf.DUMMYFUNCTION("GOOGLETRANSLATE(A1689, ""en"", ""zh-CN"")"),"食谱")</f>
        <v>食谱</v>
      </c>
    </row>
    <row r="1690" ht="15.75" customHeight="1">
      <c r="A1690" s="3" t="s">
        <v>1713</v>
      </c>
      <c r="B1690" s="3" t="s">
        <v>22</v>
      </c>
      <c r="C1690" s="3" t="s">
        <v>9</v>
      </c>
      <c r="D1690" s="3" t="str">
        <f>IFERROR(__xludf.DUMMYFUNCTION("GOOGLETRANSLATE(A1690, ""en"", ""zh-CN"")"),"粗糙的")</f>
        <v>粗糙的</v>
      </c>
    </row>
    <row r="1691" ht="15.75" customHeight="1">
      <c r="A1691" s="3" t="s">
        <v>1714</v>
      </c>
      <c r="B1691" s="3" t="s">
        <v>12</v>
      </c>
      <c r="C1691" s="3" t="s">
        <v>16</v>
      </c>
      <c r="D1691" s="3" t="str">
        <f>IFERROR(__xludf.DUMMYFUNCTION("GOOGLETRANSLATE(A1691, ""en"", ""zh-CN"")"),"认出")</f>
        <v>认出</v>
      </c>
    </row>
    <row r="1692" ht="15.75" customHeight="1">
      <c r="A1692" s="3" t="s">
        <v>1715</v>
      </c>
      <c r="B1692" s="3" t="s">
        <v>8</v>
      </c>
      <c r="C1692" s="3" t="s">
        <v>13</v>
      </c>
      <c r="D1692" s="3" t="str">
        <f>IFERROR(__xludf.DUMMYFUNCTION("GOOGLETRANSLATE(A1692, ""en"", ""zh-CN"")"),"名声")</f>
        <v>名声</v>
      </c>
    </row>
    <row r="1693" ht="15.75" customHeight="1">
      <c r="A1693" s="3" t="s">
        <v>1716</v>
      </c>
      <c r="B1693" s="3" t="s">
        <v>12</v>
      </c>
      <c r="C1693" s="3" t="s">
        <v>16</v>
      </c>
      <c r="D1693" s="3" t="str">
        <f>IFERROR(__xludf.DUMMYFUNCTION("GOOGLETRANSLATE(A1693, ""en"", ""zh-CN"")"),"推荐")</f>
        <v>推荐</v>
      </c>
    </row>
    <row r="1694" ht="15.75" customHeight="1">
      <c r="A1694" s="3" t="s">
        <v>1717</v>
      </c>
      <c r="B1694" s="3" t="s">
        <v>8</v>
      </c>
      <c r="C1694" s="3" t="s">
        <v>16</v>
      </c>
      <c r="D1694" s="3" t="str">
        <f>IFERROR(__xludf.DUMMYFUNCTION("GOOGLETRANSLATE(A1694, ""en"", ""zh-CN"")"),"路线")</f>
        <v>路线</v>
      </c>
    </row>
    <row r="1695" ht="15.75" customHeight="1">
      <c r="A1695" s="3" t="s">
        <v>1718</v>
      </c>
      <c r="B1695" s="3" t="s">
        <v>8</v>
      </c>
      <c r="C1695" s="3" t="s">
        <v>9</v>
      </c>
      <c r="D1695" s="3" t="str">
        <f>IFERROR(__xludf.DUMMYFUNCTION("GOOGLETRANSLATE(A1695, ""en"", ""zh-CN"")"),"推荐")</f>
        <v>推荐</v>
      </c>
    </row>
    <row r="1696" ht="15.75" customHeight="1">
      <c r="A1696" s="3" t="s">
        <v>1719</v>
      </c>
      <c r="B1696" s="3" t="s">
        <v>12</v>
      </c>
      <c r="C1696" s="3" t="s">
        <v>9</v>
      </c>
      <c r="D1696" s="3" t="str">
        <f>IFERROR(__xludf.DUMMYFUNCTION("GOOGLETRANSLATE(A1696, ""en"", ""zh-CN"")"),"要求")</f>
        <v>要求</v>
      </c>
    </row>
    <row r="1697" ht="15.75" customHeight="1">
      <c r="A1697" s="3" t="s">
        <v>1720</v>
      </c>
      <c r="B1697" s="3" t="s">
        <v>8</v>
      </c>
      <c r="C1697" s="3" t="s">
        <v>13</v>
      </c>
      <c r="D1697" s="3" t="str">
        <f>IFERROR(__xludf.DUMMYFUNCTION("GOOGLETRANSLATE(A1697, ""en"", ""zh-CN"")"),"要求")</f>
        <v>要求</v>
      </c>
    </row>
    <row r="1698" ht="15.75" customHeight="1">
      <c r="A1698" s="3" t="s">
        <v>1721</v>
      </c>
      <c r="B1698" s="3" t="s">
        <v>8</v>
      </c>
      <c r="C1698" s="3" t="s">
        <v>9</v>
      </c>
      <c r="D1698" s="3" t="str">
        <f>IFERROR(__xludf.DUMMYFUNCTION("GOOGLETRANSLATE(A1698, ""en"", ""zh-CN"")"),"Row1")</f>
        <v>Row1</v>
      </c>
    </row>
    <row r="1699" ht="15.75" customHeight="1">
      <c r="A1699" s="3" t="s">
        <v>1722</v>
      </c>
      <c r="B1699" s="3" t="s">
        <v>8</v>
      </c>
      <c r="C1699" s="3" t="s">
        <v>16</v>
      </c>
      <c r="D1699" s="3" t="str">
        <f>IFERROR(__xludf.DUMMYFUNCTION("GOOGLETRANSLATE(A1699, ""en"", ""zh-CN"")"),"记录")</f>
        <v>记录</v>
      </c>
    </row>
    <row r="1700" ht="15.75" customHeight="1">
      <c r="A1700" s="3" t="s">
        <v>1723</v>
      </c>
      <c r="B1700" s="3" t="s">
        <v>22</v>
      </c>
      <c r="C1700" s="3" t="s">
        <v>9</v>
      </c>
      <c r="D1700" s="3" t="str">
        <f>IFERROR(__xludf.DUMMYFUNCTION("GOOGLETRANSLATE(A1700, ""en"", ""zh-CN"")"),"皇家")</f>
        <v>皇家</v>
      </c>
    </row>
    <row r="1701" ht="15.75" customHeight="1">
      <c r="A1701" s="3" t="s">
        <v>1724</v>
      </c>
      <c r="B1701" s="3" t="s">
        <v>12</v>
      </c>
      <c r="C1701" s="3" t="s">
        <v>13</v>
      </c>
      <c r="D1701" s="3" t="str">
        <f>IFERROR(__xludf.DUMMYFUNCTION("GOOGLETRANSLATE(A1701, ""en"", ""zh-CN"")"),"恢复")</f>
        <v>恢复</v>
      </c>
    </row>
    <row r="1702" ht="15.75" customHeight="1">
      <c r="A1702" s="3" t="s">
        <v>1725</v>
      </c>
      <c r="B1702" s="3" t="s">
        <v>12</v>
      </c>
      <c r="C1702" s="3" t="s">
        <v>13</v>
      </c>
      <c r="D1702" s="3" t="str">
        <f>IFERROR(__xludf.DUMMYFUNCTION("GOOGLETRANSLATE(A1702, ""en"", ""zh-CN"")"),"擦")</f>
        <v>擦</v>
      </c>
    </row>
    <row r="1703" ht="15.75" customHeight="1">
      <c r="A1703" s="3" t="s">
        <v>1726</v>
      </c>
      <c r="B1703" s="3" t="s">
        <v>12</v>
      </c>
      <c r="C1703" s="3" t="s">
        <v>16</v>
      </c>
      <c r="D1703" s="3" t="str">
        <f>IFERROR(__xludf.DUMMYFUNCTION("GOOGLETRANSLATE(A1703, ""en"", ""zh-CN"")"),"回收")</f>
        <v>回收</v>
      </c>
    </row>
    <row r="1704" ht="15.75" customHeight="1">
      <c r="A1704" s="3" t="s">
        <v>1727</v>
      </c>
      <c r="B1704" s="3" t="s">
        <v>8</v>
      </c>
      <c r="C1704" s="3" t="s">
        <v>16</v>
      </c>
      <c r="D1704" s="3" t="str">
        <f>IFERROR(__xludf.DUMMYFUNCTION("GOOGLETRANSLATE(A1704, ""en"", ""zh-CN"")"),"研究员")</f>
        <v>研究员</v>
      </c>
    </row>
    <row r="1705" ht="15.75" customHeight="1">
      <c r="A1705" s="3" t="s">
        <v>1728</v>
      </c>
      <c r="B1705" s="3" t="s">
        <v>8</v>
      </c>
      <c r="C1705" s="3" t="s">
        <v>9</v>
      </c>
      <c r="D1705" s="3" t="str">
        <f>IFERROR(__xludf.DUMMYFUNCTION("GOOGLETRANSLATE(A1705, ""en"", ""zh-CN"")"),"预订")</f>
        <v>预订</v>
      </c>
    </row>
    <row r="1706" ht="15.75" customHeight="1">
      <c r="A1706" s="3" t="s">
        <v>1729</v>
      </c>
      <c r="B1706" s="3" t="s">
        <v>8</v>
      </c>
      <c r="C1706" s="3" t="s">
        <v>16</v>
      </c>
      <c r="D1706" s="3" t="str">
        <f>IFERROR(__xludf.DUMMYFUNCTION("GOOGLETRANSLATE(A1706, ""en"", ""zh-CN"")"),"垃圾")</f>
        <v>垃圾</v>
      </c>
    </row>
    <row r="1707" ht="15.75" customHeight="1">
      <c r="A1707" s="3" t="s">
        <v>1730</v>
      </c>
      <c r="B1707" s="3" t="s">
        <v>12</v>
      </c>
      <c r="C1707" s="3" t="s">
        <v>16</v>
      </c>
      <c r="D1707" s="3" t="str">
        <f>IFERROR(__xludf.DUMMYFUNCTION("GOOGLETRANSLATE(A1707, ""en"", ""zh-CN"")"),"减少")</f>
        <v>减少</v>
      </c>
    </row>
    <row r="1708" ht="15.75" customHeight="1">
      <c r="A1708" s="3" t="s">
        <v>1731</v>
      </c>
      <c r="B1708" s="3" t="s">
        <v>22</v>
      </c>
      <c r="C1708" s="3" t="s">
        <v>16</v>
      </c>
      <c r="D1708" s="3" t="str">
        <f>IFERROR(__xludf.DUMMYFUNCTION("GOOGLETRANSLATE(A1708, ""en"", ""zh-CN"")"),"粗鲁的")</f>
        <v>粗鲁的</v>
      </c>
    </row>
    <row r="1709" ht="15.75" customHeight="1">
      <c r="A1709" s="3" t="s">
        <v>1732</v>
      </c>
      <c r="B1709" s="3" t="s">
        <v>8</v>
      </c>
      <c r="C1709" s="3" t="s">
        <v>13</v>
      </c>
      <c r="D1709" s="3" t="str">
        <f>IFERROR(__xludf.DUMMYFUNCTION("GOOGLETRANSLATE(A1709, ""en"", ""zh-CN"")"),"减少")</f>
        <v>减少</v>
      </c>
    </row>
    <row r="1710" ht="15.75" customHeight="1">
      <c r="A1710" s="3" t="s">
        <v>1733</v>
      </c>
      <c r="B1710" s="3" t="s">
        <v>8</v>
      </c>
      <c r="C1710" s="3" t="s">
        <v>9</v>
      </c>
      <c r="D1710" s="3" t="str">
        <f>IFERROR(__xludf.DUMMYFUNCTION("GOOGLETRANSLATE(A1710, ""en"", ""zh-CN"")"),"橄榄球")</f>
        <v>橄榄球</v>
      </c>
    </row>
    <row r="1711" ht="15.75" customHeight="1">
      <c r="A1711" s="3" t="s">
        <v>1734</v>
      </c>
      <c r="B1711" s="3" t="s">
        <v>12</v>
      </c>
      <c r="C1711" s="3" t="s">
        <v>16</v>
      </c>
      <c r="D1711" s="3" t="str">
        <f>IFERROR(__xludf.DUMMYFUNCTION("GOOGLETRANSLATE(A1711, ""en"", ""zh-CN"")"),"参考")</f>
        <v>参考</v>
      </c>
    </row>
    <row r="1712" ht="15.75" customHeight="1">
      <c r="A1712" s="3" t="s">
        <v>1735</v>
      </c>
      <c r="B1712" s="3" t="s">
        <v>12</v>
      </c>
      <c r="C1712" s="3" t="s">
        <v>13</v>
      </c>
      <c r="D1712" s="3" t="str">
        <f>IFERROR(__xludf.DUMMYFUNCTION("GOOGLETRANSLATE(A1712, ""en"", ""zh-CN"")"),"抵抗")</f>
        <v>抵抗</v>
      </c>
    </row>
    <row r="1713" ht="15.75" customHeight="1">
      <c r="A1713" s="3" t="s">
        <v>1736</v>
      </c>
      <c r="B1713" s="3" t="s">
        <v>8</v>
      </c>
      <c r="C1713" s="3" t="s">
        <v>9</v>
      </c>
      <c r="D1713" s="3" t="str">
        <f>IFERROR(__xludf.DUMMYFUNCTION("GOOGLETRANSLATE(A1713, ""en"", ""zh-CN"")"),"参考")</f>
        <v>参考</v>
      </c>
    </row>
    <row r="1714" ht="15.75" customHeight="1">
      <c r="A1714" s="3" t="s">
        <v>1737</v>
      </c>
      <c r="B1714" s="3" t="s">
        <v>12</v>
      </c>
      <c r="C1714" s="3" t="s">
        <v>13</v>
      </c>
      <c r="D1714" s="3" t="str">
        <f>IFERROR(__xludf.DUMMYFUNCTION("GOOGLETRANSLATE(A1714, ""en"", ""zh-CN"")"),"解决")</f>
        <v>解决</v>
      </c>
    </row>
    <row r="1715" ht="15.75" customHeight="1">
      <c r="A1715" s="3" t="s">
        <v>1738</v>
      </c>
      <c r="B1715" s="3" t="s">
        <v>12</v>
      </c>
      <c r="C1715" s="3" t="s">
        <v>9</v>
      </c>
      <c r="D1715" s="3" t="str">
        <f>IFERROR(__xludf.DUMMYFUNCTION("GOOGLETRANSLATE(A1715, ""en"", ""zh-CN"")"),"反映")</f>
        <v>反映</v>
      </c>
    </row>
    <row r="1716" ht="15.75" customHeight="1">
      <c r="A1716" s="3" t="s">
        <v>1739</v>
      </c>
      <c r="B1716" s="3" t="s">
        <v>8</v>
      </c>
      <c r="C1716" s="3" t="s">
        <v>13</v>
      </c>
      <c r="D1716" s="3" t="str">
        <f>IFERROR(__xludf.DUMMYFUNCTION("GOOGLETRANSLATE(A1716, ""en"", ""zh-CN"")"),"采取")</f>
        <v>采取</v>
      </c>
    </row>
    <row r="1717" ht="15.75" customHeight="1">
      <c r="A1717" s="3" t="s">
        <v>1740</v>
      </c>
      <c r="B1717" s="3" t="s">
        <v>8</v>
      </c>
      <c r="C1717" s="3" t="s">
        <v>16</v>
      </c>
      <c r="D1717" s="3" t="str">
        <f>IFERROR(__xludf.DUMMYFUNCTION("GOOGLETRANSLATE(A1717, ""en"", ""zh-CN"")"),"跑步者")</f>
        <v>跑步者</v>
      </c>
    </row>
    <row r="1718" ht="15.75" customHeight="1">
      <c r="A1718" s="3" t="s">
        <v>1741</v>
      </c>
      <c r="B1718" s="3" t="s">
        <v>12</v>
      </c>
      <c r="C1718" s="3" t="s">
        <v>16</v>
      </c>
      <c r="D1718" s="3" t="str">
        <f>IFERROR(__xludf.DUMMYFUNCTION("GOOGLETRANSLATE(A1718, ""en"", ""zh-CN"")"),"拒绝1")</f>
        <v>拒绝1</v>
      </c>
    </row>
    <row r="1719" ht="15.75" customHeight="1">
      <c r="A1719" s="3" t="s">
        <v>1742</v>
      </c>
      <c r="B1719" s="3" t="s">
        <v>8</v>
      </c>
      <c r="C1719" s="3" t="s">
        <v>9</v>
      </c>
      <c r="D1719" s="3" t="str">
        <f>IFERROR(__xludf.DUMMYFUNCTION("GOOGLETRANSLATE(A1719, ""en"", ""zh-CN"")"),"资源")</f>
        <v>资源</v>
      </c>
    </row>
    <row r="1720" ht="15.75" customHeight="1">
      <c r="A1720" s="3" t="s">
        <v>1743</v>
      </c>
      <c r="B1720" s="3" t="s">
        <v>8</v>
      </c>
      <c r="C1720" s="3" t="s">
        <v>16</v>
      </c>
      <c r="D1720" s="3" t="str">
        <f>IFERROR(__xludf.DUMMYFUNCTION("GOOGLETRANSLATE(A1720, ""en"", ""zh-CN"")"),"跑步")</f>
        <v>跑步</v>
      </c>
    </row>
    <row r="1721" ht="15.75" customHeight="1">
      <c r="A1721" s="3" t="s">
        <v>1744</v>
      </c>
      <c r="B1721" s="3" t="s">
        <v>22</v>
      </c>
      <c r="C1721" s="3" t="s">
        <v>13</v>
      </c>
      <c r="D1721" s="3" t="str">
        <f>IFERROR(__xludf.DUMMYFUNCTION("GOOGLETRANSLATE(A1721, ""en"", ""zh-CN"")"),"乡村的")</f>
        <v>乡村的</v>
      </c>
    </row>
    <row r="1722" ht="15.75" customHeight="1">
      <c r="A1722" s="3" t="s">
        <v>1745</v>
      </c>
      <c r="B1722" s="3" t="s">
        <v>8</v>
      </c>
      <c r="C1722" s="3" t="s">
        <v>16</v>
      </c>
      <c r="D1722" s="3" t="str">
        <f>IFERROR(__xludf.DUMMYFUNCTION("GOOGLETRANSLATE(A1722, ""en"", ""zh-CN"")"),"地区")</f>
        <v>地区</v>
      </c>
    </row>
    <row r="1723" ht="15.75" customHeight="1">
      <c r="A1723" s="3" t="s">
        <v>1746</v>
      </c>
      <c r="B1723" s="3" t="s">
        <v>12</v>
      </c>
      <c r="C1723" s="3" t="s">
        <v>16</v>
      </c>
      <c r="D1723" s="3" t="str">
        <f>IFERROR(__xludf.DUMMYFUNCTION("GOOGLETRANSLATE(A1723, ""en"", ""zh-CN"")"),"回应")</f>
        <v>回应</v>
      </c>
    </row>
    <row r="1724" ht="15.75" customHeight="1">
      <c r="A1724" s="3" t="s">
        <v>1747</v>
      </c>
      <c r="B1724" s="3" t="s">
        <v>22</v>
      </c>
      <c r="C1724" s="3" t="s">
        <v>13</v>
      </c>
      <c r="D1724" s="3" t="str">
        <f>IFERROR(__xludf.DUMMYFUNCTION("GOOGLETRANSLATE(A1724, ""en"", ""zh-CN"")"),"区域")</f>
        <v>区域</v>
      </c>
    </row>
    <row r="1725" ht="15.75" customHeight="1">
      <c r="A1725" s="3" t="s">
        <v>1748</v>
      </c>
      <c r="B1725" s="3" t="s">
        <v>8</v>
      </c>
      <c r="C1725" s="3" t="s">
        <v>16</v>
      </c>
      <c r="D1725" s="3" t="str">
        <f>IFERROR(__xludf.DUMMYFUNCTION("GOOGLETRANSLATE(A1725, ""en"", ""zh-CN"")"),"回复")</f>
        <v>回复</v>
      </c>
    </row>
    <row r="1726" ht="15.75" customHeight="1">
      <c r="A1726" s="3" t="s">
        <v>1749</v>
      </c>
      <c r="B1726" s="3" t="s">
        <v>8</v>
      </c>
      <c r="C1726" s="3" t="s">
        <v>9</v>
      </c>
      <c r="D1726" s="3" t="str">
        <f>IFERROR(__xludf.DUMMYFUNCTION("GOOGLETRANSLATE(A1726, ""en"", ""zh-CN"")"),"责任")</f>
        <v>责任</v>
      </c>
    </row>
    <row r="1727" ht="15.75" customHeight="1">
      <c r="A1727" s="3" t="s">
        <v>1750</v>
      </c>
      <c r="B1727" s="3" t="s">
        <v>22</v>
      </c>
      <c r="C1727" s="3" t="s">
        <v>6</v>
      </c>
      <c r="D1727" s="3" t="str">
        <f>IFERROR(__xludf.DUMMYFUNCTION("GOOGLETRANSLATE(A1727, ""en"", ""zh-CN"")"),"伤心")</f>
        <v>伤心</v>
      </c>
    </row>
    <row r="1728" ht="15.75" customHeight="1">
      <c r="A1728" s="3" t="s">
        <v>1751</v>
      </c>
      <c r="B1728" s="3" t="s">
        <v>22</v>
      </c>
      <c r="C1728" s="3" t="s">
        <v>9</v>
      </c>
      <c r="D1728" s="3" t="str">
        <f>IFERROR(__xludf.DUMMYFUNCTION("GOOGLETRANSLATE(A1728, ""en"", ""zh-CN"")"),"说")</f>
        <v>说</v>
      </c>
    </row>
    <row r="1729" ht="15.75" customHeight="1">
      <c r="A1729" s="3" t="s">
        <v>1752</v>
      </c>
      <c r="B1729" s="3" t="s">
        <v>20</v>
      </c>
      <c r="C1729" s="3" t="s">
        <v>16</v>
      </c>
      <c r="D1729" s="3" t="str">
        <f>IFERROR(__xludf.DUMMYFUNCTION("GOOGLETRANSLATE(A1729, ""en"", ""zh-CN"")"),"可悲的")</f>
        <v>可悲的</v>
      </c>
    </row>
    <row r="1730" ht="15.75" customHeight="1">
      <c r="A1730" s="3" t="s">
        <v>1753</v>
      </c>
      <c r="B1730" s="3" t="s">
        <v>8</v>
      </c>
      <c r="C1730" s="3" t="s">
        <v>16</v>
      </c>
      <c r="D1730" s="3" t="str">
        <f>IFERROR(__xludf.DUMMYFUNCTION("GOOGLETRANSLATE(A1730, ""en"", ""zh-CN"")"),"肩膀")</f>
        <v>肩膀</v>
      </c>
    </row>
    <row r="1731" ht="15.75" customHeight="1">
      <c r="A1731" s="3" t="s">
        <v>1754</v>
      </c>
      <c r="B1731" s="3" t="s">
        <v>22</v>
      </c>
      <c r="C1731" s="3" t="s">
        <v>16</v>
      </c>
      <c r="D1731" s="3" t="str">
        <f>IFERROR(__xludf.DUMMYFUNCTION("GOOGLETRANSLATE(A1731, ""en"", ""zh-CN"")"),"安全的")</f>
        <v>安全的</v>
      </c>
    </row>
    <row r="1732" ht="15.75" customHeight="1">
      <c r="A1732" s="3" t="s">
        <v>1755</v>
      </c>
      <c r="B1732" s="3" t="s">
        <v>8</v>
      </c>
      <c r="C1732" s="3" t="s">
        <v>16</v>
      </c>
      <c r="D1732" s="3" t="str">
        <f>IFERROR(__xludf.DUMMYFUNCTION("GOOGLETRANSLATE(A1732, ""en"", ""zh-CN"")"),"勺子")</f>
        <v>勺子</v>
      </c>
    </row>
    <row r="1733" ht="15.75" customHeight="1">
      <c r="A1733" s="3" t="s">
        <v>1756</v>
      </c>
      <c r="B1733" s="3" t="s">
        <v>8</v>
      </c>
      <c r="C1733" s="3" t="s">
        <v>9</v>
      </c>
      <c r="D1733" s="3" t="str">
        <f>IFERROR(__xludf.DUMMYFUNCTION("GOOGLETRANSLATE(A1733, ""en"", ""zh-CN"")"),"安全")</f>
        <v>安全</v>
      </c>
    </row>
    <row r="1734" ht="15.75" customHeight="1">
      <c r="A1734" s="3" t="s">
        <v>1757</v>
      </c>
      <c r="B1734" s="3" t="s">
        <v>8</v>
      </c>
      <c r="C1734" s="3" t="s">
        <v>6</v>
      </c>
      <c r="D1734" s="3" t="str">
        <f>IFERROR(__xludf.DUMMYFUNCTION("GOOGLETRANSLATE(A1734, ""en"", ""zh-CN"")"),"运动")</f>
        <v>运动</v>
      </c>
    </row>
    <row r="1735" ht="15.75" customHeight="1">
      <c r="A1735" s="3" t="s">
        <v>1758</v>
      </c>
      <c r="B1735" s="3" t="s">
        <v>8</v>
      </c>
      <c r="C1735" s="3" t="s">
        <v>6</v>
      </c>
      <c r="D1735" s="3" t="str">
        <f>IFERROR(__xludf.DUMMYFUNCTION("GOOGLETRANSLATE(A1735, ""en"", ""zh-CN"")"),"淋浴")</f>
        <v>淋浴</v>
      </c>
    </row>
    <row r="1736" ht="15.75" customHeight="1">
      <c r="A1736" s="3" t="s">
        <v>1759</v>
      </c>
      <c r="B1736" s="3" t="s">
        <v>8</v>
      </c>
      <c r="C1736" s="3" t="s">
        <v>16</v>
      </c>
      <c r="D1736" s="3" t="str">
        <f>IFERROR(__xludf.DUMMYFUNCTION("GOOGLETRANSLATE(A1736, ""en"", ""zh-CN"")"),"航行")</f>
        <v>航行</v>
      </c>
    </row>
    <row r="1737" ht="15.75" customHeight="1">
      <c r="A1737" s="3" t="s">
        <v>1760</v>
      </c>
      <c r="B1737" s="3" t="s">
        <v>8</v>
      </c>
      <c r="C1737" s="3" t="s">
        <v>9</v>
      </c>
      <c r="D1737" s="3" t="str">
        <f>IFERROR(__xludf.DUMMYFUNCTION("GOOGLETRANSLATE(A1737, ""en"", ""zh-CN"")"),"水手")</f>
        <v>水手</v>
      </c>
    </row>
    <row r="1738" ht="15.75" customHeight="1">
      <c r="A1738" s="3" t="s">
        <v>1761</v>
      </c>
      <c r="B1738" s="3" t="s">
        <v>22</v>
      </c>
      <c r="C1738" s="3" t="s">
        <v>9</v>
      </c>
      <c r="D1738" s="3" t="str">
        <f>IFERROR(__xludf.DUMMYFUNCTION("GOOGLETRANSLATE(A1738, ""en"", ""zh-CN"")"),"害羞的")</f>
        <v>害羞的</v>
      </c>
    </row>
    <row r="1739" ht="15.75" customHeight="1">
      <c r="A1739" s="3" t="s">
        <v>1762</v>
      </c>
      <c r="B1739" s="3" t="s">
        <v>8</v>
      </c>
      <c r="C1739" s="3" t="s">
        <v>6</v>
      </c>
      <c r="D1739" s="3" t="str">
        <f>IFERROR(__xludf.DUMMYFUNCTION("GOOGLETRANSLATE(A1739, ""en"", ""zh-CN"")"),"沙拉")</f>
        <v>沙拉</v>
      </c>
    </row>
    <row r="1740" ht="15.75" customHeight="1">
      <c r="A1740" s="3" t="s">
        <v>1763</v>
      </c>
      <c r="B1740" s="3" t="s">
        <v>22</v>
      </c>
      <c r="C1740" s="3" t="s">
        <v>6</v>
      </c>
      <c r="D1740" s="3" t="str">
        <f>IFERROR(__xludf.DUMMYFUNCTION("GOOGLETRANSLATE(A1740, ""en"", ""zh-CN"")"),"生病的")</f>
        <v>生病的</v>
      </c>
    </row>
    <row r="1741" ht="15.75" customHeight="1">
      <c r="A1741" s="3" t="s">
        <v>1764</v>
      </c>
      <c r="B1741" s="3" t="s">
        <v>8</v>
      </c>
      <c r="C1741" s="3" t="s">
        <v>16</v>
      </c>
      <c r="D1741" s="3" t="str">
        <f>IFERROR(__xludf.DUMMYFUNCTION("GOOGLETRANSLATE(A1741, ""en"", ""zh-CN"")"),"薪水")</f>
        <v>薪水</v>
      </c>
    </row>
    <row r="1742" ht="15.75" customHeight="1">
      <c r="A1742" s="3" t="s">
        <v>1765</v>
      </c>
      <c r="B1742" s="3" t="s">
        <v>8</v>
      </c>
      <c r="C1742" s="3" t="s">
        <v>16</v>
      </c>
      <c r="D1742" s="3" t="str">
        <f>IFERROR(__xludf.DUMMYFUNCTION("GOOGLETRANSLATE(A1742, ""en"", ""zh-CN"")"),"边")</f>
        <v>边</v>
      </c>
    </row>
    <row r="1743" ht="15.75" customHeight="1">
      <c r="A1743" s="3" t="s">
        <v>1766</v>
      </c>
      <c r="B1743" s="3" t="s">
        <v>22</v>
      </c>
      <c r="C1743" s="3" t="s">
        <v>13</v>
      </c>
      <c r="D1743" s="3" t="str">
        <f>IFERROR(__xludf.DUMMYFUNCTION("GOOGLETRANSLATE(A1743, ""en"", ""zh-CN"")"),"稳定的")</f>
        <v>稳定的</v>
      </c>
    </row>
    <row r="1744" ht="15.75" customHeight="1">
      <c r="A1744" s="3" t="s">
        <v>1767</v>
      </c>
      <c r="B1744" s="3" t="s">
        <v>8</v>
      </c>
      <c r="C1744" s="3" t="s">
        <v>16</v>
      </c>
      <c r="D1744" s="3" t="str">
        <f>IFERROR(__xludf.DUMMYFUNCTION("GOOGLETRANSLATE(A1744, ""en"", ""zh-CN"")"),"销售")</f>
        <v>销售</v>
      </c>
    </row>
    <row r="1745" ht="15.75" customHeight="1">
      <c r="A1745" s="3" t="s">
        <v>1768</v>
      </c>
      <c r="B1745" s="3" t="s">
        <v>8</v>
      </c>
      <c r="C1745" s="3" t="s">
        <v>9</v>
      </c>
      <c r="D1745" s="3" t="str">
        <f>IFERROR(__xludf.DUMMYFUNCTION("GOOGLETRANSLATE(A1745, ""en"", ""zh-CN"")"),"视线")</f>
        <v>视线</v>
      </c>
    </row>
    <row r="1746" ht="15.75" customHeight="1">
      <c r="A1746" s="3" t="s">
        <v>1769</v>
      </c>
      <c r="B1746" s="3" t="s">
        <v>8</v>
      </c>
      <c r="C1746" s="3" t="s">
        <v>9</v>
      </c>
      <c r="D1746" s="3" t="str">
        <f>IFERROR(__xludf.DUMMYFUNCTION("GOOGLETRANSLATE(A1746, ""en"", ""zh-CN"")"),"体育场")</f>
        <v>体育场</v>
      </c>
    </row>
    <row r="1747" ht="15.75" customHeight="1">
      <c r="A1747" s="3" t="s">
        <v>1770</v>
      </c>
      <c r="B1747" s="3" t="s">
        <v>8</v>
      </c>
      <c r="C1747" s="3" t="s">
        <v>6</v>
      </c>
      <c r="D1747" s="3" t="str">
        <f>IFERROR(__xludf.DUMMYFUNCTION("GOOGLETRANSLATE(A1747, ""en"", ""zh-CN"")"),"盐")</f>
        <v>盐</v>
      </c>
    </row>
    <row r="1748" ht="15.75" customHeight="1">
      <c r="A1748" s="3" t="s">
        <v>1771</v>
      </c>
      <c r="B1748" s="3" t="s">
        <v>8</v>
      </c>
      <c r="C1748" s="3" t="s">
        <v>9</v>
      </c>
      <c r="D1748" s="3" t="str">
        <f>IFERROR(__xludf.DUMMYFUNCTION("GOOGLETRANSLATE(A1748, ""en"", ""zh-CN"")"),"职员")</f>
        <v>职员</v>
      </c>
    </row>
    <row r="1749" ht="15.75" customHeight="1">
      <c r="A1749" s="3" t="s">
        <v>1772</v>
      </c>
      <c r="B1749" s="3" t="s">
        <v>22</v>
      </c>
      <c r="C1749" s="3" t="s">
        <v>13</v>
      </c>
      <c r="D1749" s="3" t="str">
        <f>IFERROR(__xludf.DUMMYFUNCTION("GOOGLETRANSLATE(A1749, ""en"", ""zh-CN"")"),"重要的")</f>
        <v>重要的</v>
      </c>
    </row>
    <row r="1750" ht="15.75" customHeight="1">
      <c r="A1750" s="3" t="s">
        <v>1773</v>
      </c>
      <c r="B1750" s="3" t="s">
        <v>8</v>
      </c>
      <c r="C1750" s="3" t="s">
        <v>16</v>
      </c>
      <c r="D1750" s="3" t="str">
        <f>IFERROR(__xludf.DUMMYFUNCTION("GOOGLETRANSLATE(A1750, ""en"", ""zh-CN"")"),"楼梯")</f>
        <v>楼梯</v>
      </c>
    </row>
    <row r="1751" ht="15.75" customHeight="1">
      <c r="A1751" s="3" t="s">
        <v>1774</v>
      </c>
      <c r="B1751" s="3" t="s">
        <v>8</v>
      </c>
      <c r="C1751" s="3" t="s">
        <v>9</v>
      </c>
      <c r="D1751" s="3" t="str">
        <f>IFERROR(__xludf.DUMMYFUNCTION("GOOGLETRANSLATE(A1751, ""en"", ""zh-CN"")"),"沙")</f>
        <v>沙</v>
      </c>
    </row>
    <row r="1752" ht="15.75" customHeight="1">
      <c r="A1752" s="3" t="s">
        <v>1775</v>
      </c>
      <c r="B1752" s="3" t="s">
        <v>20</v>
      </c>
      <c r="C1752" s="3" t="s">
        <v>13</v>
      </c>
      <c r="D1752" s="3" t="str">
        <f>IFERROR(__xludf.DUMMYFUNCTION("GOOGLETRANSLATE(A1752, ""en"", ""zh-CN"")"),"显著地")</f>
        <v>显著地</v>
      </c>
    </row>
    <row r="1753" ht="15.75" customHeight="1">
      <c r="A1753" s="3" t="s">
        <v>1776</v>
      </c>
      <c r="B1753" s="3" t="s">
        <v>8</v>
      </c>
      <c r="C1753" s="3" t="s">
        <v>16</v>
      </c>
      <c r="D1753" s="3" t="str">
        <f>IFERROR(__xludf.DUMMYFUNCTION("GOOGLETRANSLATE(A1753, ""en"", ""zh-CN"")"),"邮票")</f>
        <v>邮票</v>
      </c>
    </row>
    <row r="1754" ht="15.75" customHeight="1">
      <c r="A1754" s="3" t="s">
        <v>1777</v>
      </c>
      <c r="B1754" s="3" t="s">
        <v>8</v>
      </c>
      <c r="C1754" s="3" t="s">
        <v>6</v>
      </c>
      <c r="D1754" s="3" t="str">
        <f>IFERROR(__xludf.DUMMYFUNCTION("GOOGLETRANSLATE(A1754, ""en"", ""zh-CN"")"),"三明治")</f>
        <v>三明治</v>
      </c>
    </row>
    <row r="1755" ht="15.75" customHeight="1">
      <c r="A1755" s="3" t="s">
        <v>1778</v>
      </c>
      <c r="B1755" s="3" t="s">
        <v>8</v>
      </c>
      <c r="C1755" s="3" t="s">
        <v>13</v>
      </c>
      <c r="D1755" s="3" t="str">
        <f>IFERROR(__xludf.DUMMYFUNCTION("GOOGLETRANSLATE(A1755, ""en"", ""zh-CN"")"),"安静")</f>
        <v>安静</v>
      </c>
    </row>
    <row r="1756" ht="15.75" customHeight="1">
      <c r="A1756" s="3" t="s">
        <v>1779</v>
      </c>
      <c r="B1756" s="3" t="s">
        <v>8</v>
      </c>
      <c r="C1756" s="3" t="s">
        <v>13</v>
      </c>
      <c r="D1756" s="3" t="str">
        <f>IFERROR(__xludf.DUMMYFUNCTION("GOOGLETRANSLATE(A1756, ""en"", ""zh-CN"")"),"卫星")</f>
        <v>卫星</v>
      </c>
    </row>
    <row r="1757" ht="15.75" customHeight="1">
      <c r="A1757" s="3" t="s">
        <v>1780</v>
      </c>
      <c r="B1757" s="3" t="s">
        <v>22</v>
      </c>
      <c r="C1757" s="3" t="s">
        <v>9</v>
      </c>
      <c r="D1757" s="3" t="str">
        <f>IFERROR(__xludf.DUMMYFUNCTION("GOOGLETRANSLATE(A1757, ""en"", ""zh-CN"")"),"沉默的")</f>
        <v>沉默的</v>
      </c>
    </row>
    <row r="1758" ht="15.75" customHeight="1">
      <c r="A1758" s="3" t="s">
        <v>1781</v>
      </c>
      <c r="B1758" s="3" t="s">
        <v>22</v>
      </c>
      <c r="C1758" s="3" t="s">
        <v>13</v>
      </c>
      <c r="D1758" s="3" t="str">
        <f>IFERROR(__xludf.DUMMYFUNCTION("GOOGLETRANSLATE(A1758, ""en"", ""zh-CN"")"),"使满意")</f>
        <v>使满意</v>
      </c>
    </row>
    <row r="1759" ht="15.75" customHeight="1">
      <c r="A1759" s="3" t="s">
        <v>1782</v>
      </c>
      <c r="B1759" s="3" t="s">
        <v>8</v>
      </c>
      <c r="C1759" s="3" t="s">
        <v>13</v>
      </c>
      <c r="D1759" s="3" t="str">
        <f>IFERROR(__xludf.DUMMYFUNCTION("GOOGLETRANSLATE(A1759, ""en"", ""zh-CN"")"),"丝绸")</f>
        <v>丝绸</v>
      </c>
    </row>
    <row r="1760" ht="15.75" customHeight="1">
      <c r="A1760" s="3" t="s">
        <v>1783</v>
      </c>
      <c r="B1760" s="3" t="s">
        <v>12</v>
      </c>
      <c r="C1760" s="3" t="s">
        <v>13</v>
      </c>
      <c r="D1760" s="3" t="str">
        <f>IFERROR(__xludf.DUMMYFUNCTION("GOOGLETRANSLATE(A1760, ""en"", ""zh-CN"")"),"满足")</f>
        <v>满足</v>
      </c>
    </row>
    <row r="1761" ht="15.75" customHeight="1">
      <c r="A1761" s="3" t="s">
        <v>1784</v>
      </c>
      <c r="B1761" s="3" t="s">
        <v>22</v>
      </c>
      <c r="C1761" s="3" t="s">
        <v>9</v>
      </c>
      <c r="D1761" s="3" t="str">
        <f>IFERROR(__xludf.DUMMYFUNCTION("GOOGLETRANSLATE(A1761, ""en"", ""zh-CN"")"),"愚蠢的")</f>
        <v>愚蠢的</v>
      </c>
    </row>
    <row r="1762" ht="15.75" customHeight="1">
      <c r="A1762" s="3" t="s">
        <v>1785</v>
      </c>
      <c r="B1762" s="3" t="s">
        <v>12</v>
      </c>
      <c r="C1762" s="3" t="s">
        <v>13</v>
      </c>
      <c r="D1762" s="3" t="str">
        <f>IFERROR(__xludf.DUMMYFUNCTION("GOOGLETRANSLATE(A1762, ""en"", ""zh-CN"")"),"盯")</f>
        <v>盯</v>
      </c>
    </row>
    <row r="1763" ht="15.75" customHeight="1">
      <c r="A1763" s="3" t="s">
        <v>1786</v>
      </c>
      <c r="B1763" s="3" t="s">
        <v>8</v>
      </c>
      <c r="C1763" s="3" t="s">
        <v>6</v>
      </c>
      <c r="D1763" s="3" t="str">
        <f>IFERROR(__xludf.DUMMYFUNCTION("GOOGLETRANSLATE(A1763, ""en"", ""zh-CN"")"),"周六")</f>
        <v>周六</v>
      </c>
    </row>
    <row r="1764" ht="15.75" customHeight="1">
      <c r="A1764" s="3" t="s">
        <v>1787</v>
      </c>
      <c r="B1764" s="3" t="s">
        <v>8</v>
      </c>
      <c r="C1764" s="3" t="s">
        <v>16</v>
      </c>
      <c r="D1764" s="3" t="str">
        <f>IFERROR(__xludf.DUMMYFUNCTION("GOOGLETRANSLATE(A1764, ""en"", ""zh-CN"")"),"酱")</f>
        <v>酱</v>
      </c>
    </row>
    <row r="1765" ht="15.75" customHeight="1">
      <c r="A1765" s="3" t="s">
        <v>1788</v>
      </c>
      <c r="B1765" s="3" t="s">
        <v>22</v>
      </c>
      <c r="C1765" s="3" t="s">
        <v>6</v>
      </c>
      <c r="D1765" s="3" t="str">
        <f>IFERROR(__xludf.DUMMYFUNCTION("GOOGLETRANSLATE(A1765, ""en"", ""zh-CN"")"),"相似的")</f>
        <v>相似的</v>
      </c>
    </row>
    <row r="1766" ht="15.75" customHeight="1">
      <c r="A1766" s="3" t="s">
        <v>1789</v>
      </c>
      <c r="B1766" s="3" t="s">
        <v>12</v>
      </c>
      <c r="C1766" s="3" t="s">
        <v>16</v>
      </c>
      <c r="D1766" s="3" t="str">
        <f>IFERROR(__xludf.DUMMYFUNCTION("GOOGLETRANSLATE(A1766, ""en"", ""zh-CN"")"),"节省")</f>
        <v>节省</v>
      </c>
    </row>
    <row r="1767" ht="15.75" customHeight="1">
      <c r="A1767" s="3" t="s">
        <v>1790</v>
      </c>
      <c r="B1767" s="3" t="s">
        <v>8</v>
      </c>
      <c r="C1767" s="3" t="s">
        <v>9</v>
      </c>
      <c r="D1767" s="3" t="str">
        <f>IFERROR(__xludf.DUMMYFUNCTION("GOOGLETRANSLATE(A1767, ""en"", ""zh-CN"")"),"相似")</f>
        <v>相似</v>
      </c>
    </row>
    <row r="1768" ht="15.75" customHeight="1">
      <c r="A1768" s="3" t="s">
        <v>1791</v>
      </c>
      <c r="B1768" s="3" t="s">
        <v>8</v>
      </c>
      <c r="C1768" s="3" t="s">
        <v>6</v>
      </c>
      <c r="D1768" s="3" t="str">
        <f>IFERROR(__xludf.DUMMYFUNCTION("GOOGLETRANSLATE(A1768, ""en"", ""zh-CN"")"),"陈述")</f>
        <v>陈述</v>
      </c>
    </row>
    <row r="1769" ht="15.75" customHeight="1">
      <c r="A1769" s="3" t="s">
        <v>1792</v>
      </c>
      <c r="B1769" s="3" t="s">
        <v>8</v>
      </c>
      <c r="C1769" s="3" t="s">
        <v>13</v>
      </c>
      <c r="D1769" s="3" t="str">
        <f>IFERROR(__xludf.DUMMYFUNCTION("GOOGLETRANSLATE(A1769, ""en"", ""zh-CN"")"),"保存")</f>
        <v>保存</v>
      </c>
    </row>
    <row r="1770" ht="15.75" customHeight="1">
      <c r="A1770" s="3" t="s">
        <v>1793</v>
      </c>
      <c r="B1770" s="3" t="s">
        <v>20</v>
      </c>
      <c r="C1770" s="3" t="s">
        <v>9</v>
      </c>
      <c r="D1770" s="3" t="str">
        <f>IFERROR(__xludf.DUMMYFUNCTION("GOOGLETRANSLATE(A1770, ""en"", ""zh-CN"")"),"相似地")</f>
        <v>相似地</v>
      </c>
    </row>
    <row r="1771" ht="15.75" customHeight="1">
      <c r="A1771" s="3" t="s">
        <v>1794</v>
      </c>
      <c r="B1771" s="3" t="s">
        <v>8</v>
      </c>
      <c r="C1771" s="3" t="s">
        <v>6</v>
      </c>
      <c r="D1771" s="3" t="str">
        <f>IFERROR(__xludf.DUMMYFUNCTION("GOOGLETRANSLATE(A1771, ""en"", ""zh-CN"")"),"车站")</f>
        <v>车站</v>
      </c>
    </row>
    <row r="1772" ht="15.75" customHeight="1">
      <c r="A1772" s="3" t="s">
        <v>1795</v>
      </c>
      <c r="B1772" s="3" t="s">
        <v>12</v>
      </c>
      <c r="C1772" s="3" t="s">
        <v>6</v>
      </c>
      <c r="D1772" s="3" t="str">
        <f>IFERROR(__xludf.DUMMYFUNCTION("GOOGLETRANSLATE(A1772, ""en"", ""zh-CN"")"),"说")</f>
        <v>说</v>
      </c>
    </row>
    <row r="1773" ht="15.75" customHeight="1">
      <c r="A1773" s="3" t="s">
        <v>1796</v>
      </c>
      <c r="B1773" s="3" t="s">
        <v>22</v>
      </c>
      <c r="C1773" s="3" t="s">
        <v>16</v>
      </c>
      <c r="D1773" s="3" t="str">
        <f>IFERROR(__xludf.DUMMYFUNCTION("GOOGLETRANSLATE(A1773, ""en"", ""zh-CN"")"),"简单的")</f>
        <v>简单的</v>
      </c>
    </row>
    <row r="1774" ht="15.75" customHeight="1">
      <c r="A1774" s="3" t="s">
        <v>1797</v>
      </c>
      <c r="B1774" s="3" t="s">
        <v>8</v>
      </c>
      <c r="C1774" s="3" t="s">
        <v>9</v>
      </c>
      <c r="D1774" s="3" t="str">
        <f>IFERROR(__xludf.DUMMYFUNCTION("GOOGLETRANSLATE(A1774, ""en"", ""zh-CN"")"),"统计")</f>
        <v>统计</v>
      </c>
    </row>
    <row r="1775" ht="15.75" customHeight="1">
      <c r="A1775" s="3" t="s">
        <v>1798</v>
      </c>
      <c r="B1775" s="3" t="s">
        <v>8</v>
      </c>
      <c r="C1775" s="3" t="s">
        <v>13</v>
      </c>
      <c r="D1775" s="3" t="str">
        <f>IFERROR(__xludf.DUMMYFUNCTION("GOOGLETRANSLATE(A1775, ""en"", ""zh-CN"")"),"规模")</f>
        <v>规模</v>
      </c>
    </row>
    <row r="1776" ht="15.75" customHeight="1">
      <c r="A1776" s="3" t="s">
        <v>1799</v>
      </c>
      <c r="B1776" s="3" t="s">
        <v>20</v>
      </c>
      <c r="C1776" s="3" t="s">
        <v>9</v>
      </c>
      <c r="D1776" s="3" t="str">
        <f>IFERROR(__xludf.DUMMYFUNCTION("GOOGLETRANSLATE(A1776, ""en"", ""zh-CN"")"),"简单地")</f>
        <v>简单地</v>
      </c>
    </row>
    <row r="1777" ht="15.75" customHeight="1">
      <c r="A1777" s="3" t="s">
        <v>1800</v>
      </c>
      <c r="B1777" s="3" t="s">
        <v>8</v>
      </c>
      <c r="C1777" s="3" t="s">
        <v>9</v>
      </c>
      <c r="D1777" s="3" t="str">
        <f>IFERROR(__xludf.DUMMYFUNCTION("GOOGLETRANSLATE(A1777, ""en"", ""zh-CN"")"),"雕像")</f>
        <v>雕像</v>
      </c>
    </row>
    <row r="1778" ht="15.75" customHeight="1">
      <c r="A1778" s="3" t="s">
        <v>1801</v>
      </c>
      <c r="B1778" s="3" t="s">
        <v>12</v>
      </c>
      <c r="C1778" s="3" t="s">
        <v>9</v>
      </c>
      <c r="D1778" s="3" t="str">
        <f>IFERROR(__xludf.DUMMYFUNCTION("GOOGLETRANSLATE(A1778, ""en"", ""zh-CN"")"),"扫描")</f>
        <v>扫描</v>
      </c>
    </row>
    <row r="1779" ht="15.75" customHeight="1">
      <c r="A1779" s="3" t="s">
        <v>1802</v>
      </c>
      <c r="B1779" s="3" t="s">
        <v>8</v>
      </c>
      <c r="C1779" s="3" t="s">
        <v>13</v>
      </c>
      <c r="D1779" s="3" t="str">
        <f>IFERROR(__xludf.DUMMYFUNCTION("GOOGLETRANSLATE(A1779, ""en"", ""zh-CN"")"),"地位")</f>
        <v>地位</v>
      </c>
    </row>
    <row r="1780" ht="15.75" customHeight="1">
      <c r="A1780" s="3" t="s">
        <v>1803</v>
      </c>
      <c r="B1780" s="3" t="s">
        <v>22</v>
      </c>
      <c r="C1780" s="3" t="s">
        <v>16</v>
      </c>
      <c r="D1780" s="3" t="str">
        <f>IFERROR(__xludf.DUMMYFUNCTION("GOOGLETRANSLATE(A1780, ""en"", ""zh-CN"")"),"害怕的")</f>
        <v>害怕的</v>
      </c>
    </row>
    <row r="1781" ht="15.75" customHeight="1">
      <c r="A1781" s="3" t="s">
        <v>1804</v>
      </c>
      <c r="B1781" s="3" t="s">
        <v>22</v>
      </c>
      <c r="C1781" s="3" t="s">
        <v>13</v>
      </c>
      <c r="D1781" s="3" t="str">
        <f>IFERROR(__xludf.DUMMYFUNCTION("GOOGLETRANSLATE(A1781, ""en"", ""zh-CN"")"),"真诚")</f>
        <v>真诚</v>
      </c>
    </row>
    <row r="1782" ht="15.75" customHeight="1">
      <c r="A1782" s="3" t="s">
        <v>1805</v>
      </c>
      <c r="B1782" s="3" t="s">
        <v>22</v>
      </c>
      <c r="C1782" s="3" t="s">
        <v>16</v>
      </c>
      <c r="D1782" s="3" t="str">
        <f>IFERROR(__xludf.DUMMYFUNCTION("GOOGLETRANSLATE(A1782, ""en"", ""zh-CN"")"),"可怕的")</f>
        <v>可怕的</v>
      </c>
    </row>
    <row r="1783" ht="15.75" customHeight="1">
      <c r="A1783" s="3" t="s">
        <v>1806</v>
      </c>
      <c r="B1783" s="3" t="s">
        <v>12</v>
      </c>
      <c r="C1783" s="3" t="s">
        <v>6</v>
      </c>
      <c r="D1783" s="3" t="str">
        <f>IFERROR(__xludf.DUMMYFUNCTION("GOOGLETRANSLATE(A1783, ""en"", ""zh-CN"")"),"唱歌")</f>
        <v>唱歌</v>
      </c>
    </row>
    <row r="1784" ht="15.75" customHeight="1">
      <c r="A1784" s="3" t="s">
        <v>1807</v>
      </c>
      <c r="B1784" s="3" t="s">
        <v>22</v>
      </c>
      <c r="C1784" s="3" t="s">
        <v>13</v>
      </c>
      <c r="D1784" s="3" t="str">
        <f>IFERROR(__xludf.DUMMYFUNCTION("GOOGLETRANSLATE(A1784, ""en"", ""zh-CN"")"),"稳定的")</f>
        <v>稳定的</v>
      </c>
    </row>
    <row r="1785" ht="15.75" customHeight="1">
      <c r="A1785" s="3" t="s">
        <v>1808</v>
      </c>
      <c r="B1785" s="3" t="s">
        <v>8</v>
      </c>
      <c r="C1785" s="3" t="s">
        <v>16</v>
      </c>
      <c r="D1785" s="3" t="str">
        <f>IFERROR(__xludf.DUMMYFUNCTION("GOOGLETRANSLATE(A1785, ""en"", ""zh-CN"")"),"场景")</f>
        <v>场景</v>
      </c>
    </row>
    <row r="1786" ht="15.75" customHeight="1">
      <c r="A1786" s="3" t="s">
        <v>1809</v>
      </c>
      <c r="B1786" s="3" t="s">
        <v>8</v>
      </c>
      <c r="C1786" s="3" t="s">
        <v>6</v>
      </c>
      <c r="D1786" s="3" t="str">
        <f>IFERROR(__xludf.DUMMYFUNCTION("GOOGLETRANSLATE(A1786, ""en"", ""zh-CN"")"),"歌手")</f>
        <v>歌手</v>
      </c>
    </row>
    <row r="1787" ht="15.75" customHeight="1">
      <c r="A1787" s="3" t="s">
        <v>1810</v>
      </c>
      <c r="B1787" s="3" t="s">
        <v>12</v>
      </c>
      <c r="C1787" s="3" t="s">
        <v>16</v>
      </c>
      <c r="D1787" s="3" t="str">
        <f>IFERROR(__xludf.DUMMYFUNCTION("GOOGLETRANSLATE(A1787, ""en"", ""zh-CN"")"),"偷")</f>
        <v>偷</v>
      </c>
    </row>
    <row r="1788" ht="15.75" customHeight="1">
      <c r="A1788" s="3" t="s">
        <v>1811</v>
      </c>
      <c r="B1788" s="3" t="s">
        <v>8</v>
      </c>
      <c r="C1788" s="3" t="s">
        <v>16</v>
      </c>
      <c r="D1788" s="3" t="str">
        <f>IFERROR(__xludf.DUMMYFUNCTION("GOOGLETRANSLATE(A1788, ""en"", ""zh-CN"")"),"唱歌")</f>
        <v>唱歌</v>
      </c>
    </row>
    <row r="1789" ht="15.75" customHeight="1">
      <c r="A1789" s="3" t="s">
        <v>1812</v>
      </c>
      <c r="B1789" s="3" t="s">
        <v>8</v>
      </c>
      <c r="C1789" s="3" t="s">
        <v>13</v>
      </c>
      <c r="D1789" s="3" t="str">
        <f>IFERROR(__xludf.DUMMYFUNCTION("GOOGLETRANSLATE(A1789, ""en"", ""zh-CN"")"),"钢")</f>
        <v>钢</v>
      </c>
    </row>
    <row r="1790" ht="15.75" customHeight="1">
      <c r="A1790" s="3" t="s">
        <v>1813</v>
      </c>
      <c r="B1790" s="3" t="s">
        <v>8</v>
      </c>
      <c r="C1790" s="3" t="s">
        <v>13</v>
      </c>
      <c r="D1790" s="3" t="str">
        <f>IFERROR(__xludf.DUMMYFUNCTION("GOOGLETRANSLATE(A1790, ""en"", ""zh-CN"")"),"方案")</f>
        <v>方案</v>
      </c>
    </row>
    <row r="1791" ht="15.75" customHeight="1">
      <c r="A1791" s="3" t="s">
        <v>1814</v>
      </c>
      <c r="B1791" s="3" t="s">
        <v>22</v>
      </c>
      <c r="C1791" s="3" t="s">
        <v>13</v>
      </c>
      <c r="D1791" s="3" t="str">
        <f>IFERROR(__xludf.DUMMYFUNCTION("GOOGLETRANSLATE(A1791, ""en"", ""zh-CN"")"),"陡")</f>
        <v>陡</v>
      </c>
    </row>
    <row r="1792" ht="15.75" customHeight="1">
      <c r="A1792" s="3" t="s">
        <v>1815</v>
      </c>
      <c r="B1792" s="3" t="s">
        <v>8</v>
      </c>
      <c r="C1792" s="3" t="s">
        <v>6</v>
      </c>
      <c r="D1792" s="3" t="str">
        <f>IFERROR(__xludf.DUMMYFUNCTION("GOOGLETRANSLATE(A1792, ""en"", ""zh-CN"")"),"学校")</f>
        <v>学校</v>
      </c>
    </row>
    <row r="1793" ht="15.75" customHeight="1">
      <c r="A1793" s="3" t="s">
        <v>1816</v>
      </c>
      <c r="B1793" s="3" t="s">
        <v>12</v>
      </c>
      <c r="C1793" s="3" t="s">
        <v>9</v>
      </c>
      <c r="D1793" s="3" t="str">
        <f>IFERROR(__xludf.DUMMYFUNCTION("GOOGLETRANSLATE(A1793, ""en"", ""zh-CN"")"),"下沉")</f>
        <v>下沉</v>
      </c>
    </row>
    <row r="1794" ht="15.75" customHeight="1">
      <c r="A1794" s="3" t="s">
        <v>1817</v>
      </c>
      <c r="B1794" s="3" t="s">
        <v>8</v>
      </c>
      <c r="C1794" s="3" t="s">
        <v>6</v>
      </c>
      <c r="D1794" s="3" t="str">
        <f>IFERROR(__xludf.DUMMYFUNCTION("GOOGLETRANSLATE(A1794, ""en"", ""zh-CN"")"),"科学")</f>
        <v>科学</v>
      </c>
    </row>
    <row r="1795" ht="15.75" customHeight="1">
      <c r="A1795" s="3" t="s">
        <v>1818</v>
      </c>
      <c r="B1795" s="3" t="s">
        <v>8</v>
      </c>
      <c r="C1795" s="3" t="s">
        <v>16</v>
      </c>
      <c r="D1795" s="3" t="str">
        <f>IFERROR(__xludf.DUMMYFUNCTION("GOOGLETRANSLATE(A1795, ""en"", ""zh-CN"")"),"先生")</f>
        <v>先生</v>
      </c>
    </row>
    <row r="1796" ht="15.75" customHeight="1">
      <c r="A1796" s="3" t="s">
        <v>1819</v>
      </c>
      <c r="B1796" s="3" t="s">
        <v>22</v>
      </c>
      <c r="C1796" s="3" t="s">
        <v>9</v>
      </c>
      <c r="D1796" s="3" t="str">
        <f>IFERROR(__xludf.DUMMYFUNCTION("GOOGLETRANSLATE(A1796, ""en"", ""zh-CN"")"),"科学")</f>
        <v>科学</v>
      </c>
    </row>
    <row r="1797" ht="15.75" customHeight="1">
      <c r="A1797" s="3" t="s">
        <v>1820</v>
      </c>
      <c r="B1797" s="3" t="s">
        <v>8</v>
      </c>
      <c r="C1797" s="3" t="s">
        <v>6</v>
      </c>
      <c r="D1797" s="3" t="str">
        <f>IFERROR(__xludf.DUMMYFUNCTION("GOOGLETRANSLATE(A1797, ""en"", ""zh-CN"")"),"姐姐")</f>
        <v>姐姐</v>
      </c>
    </row>
    <row r="1798" ht="15.75" customHeight="1">
      <c r="A1798" s="3" t="s">
        <v>1821</v>
      </c>
      <c r="B1798" s="3" t="s">
        <v>8</v>
      </c>
      <c r="C1798" s="3" t="s">
        <v>6</v>
      </c>
      <c r="D1798" s="3" t="str">
        <f>IFERROR(__xludf.DUMMYFUNCTION("GOOGLETRANSLATE(A1798, ""en"", ""zh-CN"")"),"科学家")</f>
        <v>科学家</v>
      </c>
    </row>
    <row r="1799" ht="15.75" customHeight="1">
      <c r="A1799" s="3" t="s">
        <v>1822</v>
      </c>
      <c r="B1799" s="3" t="s">
        <v>12</v>
      </c>
      <c r="C1799" s="3" t="s">
        <v>6</v>
      </c>
      <c r="D1799" s="3" t="str">
        <f>IFERROR(__xludf.DUMMYFUNCTION("GOOGLETRANSLATE(A1799, ""en"", ""zh-CN"")"),"坐")</f>
        <v>坐</v>
      </c>
    </row>
    <row r="1800" ht="15.75" customHeight="1">
      <c r="A1800" s="3" t="s">
        <v>1823</v>
      </c>
      <c r="B1800" s="3" t="s">
        <v>22</v>
      </c>
      <c r="C1800" s="3" t="s">
        <v>13</v>
      </c>
      <c r="D1800" s="3" t="str">
        <f>IFERROR(__xludf.DUMMYFUNCTION("GOOGLETRANSLATE(A1800, ""en"", ""zh-CN"")"),"黏")</f>
        <v>黏</v>
      </c>
    </row>
    <row r="1801" ht="15.75" customHeight="1">
      <c r="A1801" s="3" t="s">
        <v>1824</v>
      </c>
      <c r="B1801" s="3" t="s">
        <v>8</v>
      </c>
      <c r="C1801" s="3" t="s">
        <v>16</v>
      </c>
      <c r="D1801" s="3" t="str">
        <f>IFERROR(__xludf.DUMMYFUNCTION("GOOGLETRANSLATE(A1801, ""en"", ""zh-CN"")"),"地点")</f>
        <v>地点</v>
      </c>
    </row>
    <row r="1802" ht="15.75" customHeight="1">
      <c r="A1802" s="3" t="s">
        <v>1825</v>
      </c>
      <c r="B1802" s="3" t="s">
        <v>22</v>
      </c>
      <c r="C1802" s="3" t="s">
        <v>13</v>
      </c>
      <c r="D1802" s="3" t="str">
        <f>IFERROR(__xludf.DUMMYFUNCTION("GOOGLETRANSLATE(A1802, ""en"", ""zh-CN"")"),"僵硬的")</f>
        <v>僵硬的</v>
      </c>
    </row>
    <row r="1803" ht="15.75" customHeight="1">
      <c r="A1803" s="3" t="s">
        <v>1826</v>
      </c>
      <c r="B1803" s="3" t="s">
        <v>8</v>
      </c>
      <c r="C1803" s="3" t="s">
        <v>6</v>
      </c>
      <c r="D1803" s="3" t="str">
        <f>IFERROR(__xludf.DUMMYFUNCTION("GOOGLETRANSLATE(A1803, ""en"", ""zh-CN"")"),"情况")</f>
        <v>情况</v>
      </c>
    </row>
    <row r="1804" ht="15.75" customHeight="1">
      <c r="A1804" s="3" t="s">
        <v>1827</v>
      </c>
      <c r="B1804" s="3" t="s">
        <v>227</v>
      </c>
      <c r="C1804" s="3" t="s">
        <v>6</v>
      </c>
      <c r="D1804" s="3" t="str">
        <f>IFERROR(__xludf.DUMMYFUNCTION("GOOGLETRANSLATE(A1804, ""en"", ""zh-CN"")"),"六")</f>
        <v>六</v>
      </c>
    </row>
    <row r="1805" ht="15.75" customHeight="1">
      <c r="A1805" s="3" t="s">
        <v>1828</v>
      </c>
      <c r="B1805" s="3" t="s">
        <v>8</v>
      </c>
      <c r="C1805" s="3" t="s">
        <v>13</v>
      </c>
      <c r="D1805" s="3" t="str">
        <f>IFERROR(__xludf.DUMMYFUNCTION("GOOGLETRANSLATE(A1805, ""en"", ""zh-CN"")"),"库存")</f>
        <v>库存</v>
      </c>
    </row>
    <row r="1806" ht="15.75" customHeight="1">
      <c r="A1806" s="3" t="s">
        <v>1829</v>
      </c>
      <c r="B1806" s="3" t="s">
        <v>8</v>
      </c>
      <c r="C1806" s="3" t="s">
        <v>9</v>
      </c>
      <c r="D1806" s="3" t="str">
        <f>IFERROR(__xludf.DUMMYFUNCTION("GOOGLETRANSLATE(A1806, ""en"", ""zh-CN"")"),"脚本")</f>
        <v>脚本</v>
      </c>
    </row>
    <row r="1807" ht="15.75" customHeight="1">
      <c r="A1807" s="3" t="s">
        <v>1830</v>
      </c>
      <c r="B1807" s="3" t="s">
        <v>227</v>
      </c>
      <c r="C1807" s="3" t="s">
        <v>6</v>
      </c>
      <c r="D1807" s="3" t="str">
        <f>IFERROR(__xludf.DUMMYFUNCTION("GOOGLETRANSLATE(A1807, ""en"", ""zh-CN"")"),"十六")</f>
        <v>十六</v>
      </c>
    </row>
    <row r="1808" ht="15.75" customHeight="1">
      <c r="A1808" s="3" t="s">
        <v>1831</v>
      </c>
      <c r="B1808" s="3" t="s">
        <v>8</v>
      </c>
      <c r="C1808" s="3" t="s">
        <v>16</v>
      </c>
      <c r="D1808" s="3" t="str">
        <f>IFERROR(__xludf.DUMMYFUNCTION("GOOGLETRANSLATE(A1808, ""en"", ""zh-CN"")"),"胃")</f>
        <v>胃</v>
      </c>
    </row>
    <row r="1809" ht="15.75" customHeight="1">
      <c r="A1809" s="3" t="s">
        <v>1832</v>
      </c>
      <c r="B1809" s="3" t="s">
        <v>8</v>
      </c>
      <c r="C1809" s="3" t="s">
        <v>9</v>
      </c>
      <c r="D1809" s="3" t="str">
        <f>IFERROR(__xludf.DUMMYFUNCTION("GOOGLETRANSLATE(A1809, ""en"", ""zh-CN"")"),"雕塑")</f>
        <v>雕塑</v>
      </c>
    </row>
    <row r="1810" ht="15.75" customHeight="1">
      <c r="A1810" s="3" t="s">
        <v>1833</v>
      </c>
      <c r="B1810" s="3" t="s">
        <v>227</v>
      </c>
      <c r="C1810" s="3" t="s">
        <v>6</v>
      </c>
      <c r="D1810" s="3" t="str">
        <f>IFERROR(__xludf.DUMMYFUNCTION("GOOGLETRANSLATE(A1810, ""en"", ""zh-CN"")"),"六十")</f>
        <v>六十</v>
      </c>
    </row>
    <row r="1811" ht="15.75" customHeight="1">
      <c r="A1811" s="3" t="s">
        <v>1834</v>
      </c>
      <c r="B1811" s="3" t="s">
        <v>8</v>
      </c>
      <c r="C1811" s="3" t="s">
        <v>16</v>
      </c>
      <c r="D1811" s="3" t="str">
        <f>IFERROR(__xludf.DUMMYFUNCTION("GOOGLETRANSLATE(A1811, ""en"", ""zh-CN"")"),"石头")</f>
        <v>石头</v>
      </c>
    </row>
    <row r="1812" ht="15.75" customHeight="1">
      <c r="A1812" s="3" t="s">
        <v>1835</v>
      </c>
      <c r="B1812" s="3" t="s">
        <v>8</v>
      </c>
      <c r="C1812" s="3" t="s">
        <v>6</v>
      </c>
      <c r="D1812" s="3" t="str">
        <f>IFERROR(__xludf.DUMMYFUNCTION("GOOGLETRANSLATE(A1812, ""en"", ""zh-CN"")"),"海")</f>
        <v>海</v>
      </c>
    </row>
    <row r="1813" ht="15.75" customHeight="1">
      <c r="A1813" s="3" t="s">
        <v>1836</v>
      </c>
      <c r="B1813" s="3" t="s">
        <v>8</v>
      </c>
      <c r="C1813" s="3" t="s">
        <v>16</v>
      </c>
      <c r="D1813" s="3" t="str">
        <f>IFERROR(__xludf.DUMMYFUNCTION("GOOGLETRANSLATE(A1813, ""en"", ""zh-CN"")"),"尺寸")</f>
        <v>尺寸</v>
      </c>
    </row>
    <row r="1814" ht="15.75" customHeight="1">
      <c r="A1814" s="3" t="s">
        <v>1837</v>
      </c>
      <c r="B1814" s="3" t="s">
        <v>8</v>
      </c>
      <c r="C1814" s="3" t="s">
        <v>16</v>
      </c>
      <c r="D1814" s="3" t="str">
        <f>IFERROR(__xludf.DUMMYFUNCTION("GOOGLETRANSLATE(A1814, ""en"", ""zh-CN"")"),"季节")</f>
        <v>季节</v>
      </c>
    </row>
    <row r="1815" ht="15.75" customHeight="1">
      <c r="A1815" s="3" t="s">
        <v>1838</v>
      </c>
      <c r="B1815" s="3" t="s">
        <v>8</v>
      </c>
      <c r="C1815" s="3" t="s">
        <v>16</v>
      </c>
      <c r="D1815" s="3" t="str">
        <f>IFERROR(__xludf.DUMMYFUNCTION("GOOGLETRANSLATE(A1815, ""en"", ""zh-CN"")"),"滑雪")</f>
        <v>滑雪</v>
      </c>
    </row>
    <row r="1816" ht="15.75" customHeight="1">
      <c r="A1816" s="3" t="s">
        <v>1839</v>
      </c>
      <c r="B1816" s="3" t="s">
        <v>8</v>
      </c>
      <c r="C1816" s="3" t="s">
        <v>16</v>
      </c>
      <c r="D1816" s="3" t="str">
        <f>IFERROR(__xludf.DUMMYFUNCTION("GOOGLETRANSLATE(A1816, ""en"", ""zh-CN"")"),"风暴")</f>
        <v>风暴</v>
      </c>
    </row>
    <row r="1817" ht="15.75" customHeight="1">
      <c r="A1817" s="3" t="s">
        <v>1840</v>
      </c>
      <c r="B1817" s="3" t="s">
        <v>8</v>
      </c>
      <c r="C1817" s="3" t="s">
        <v>6</v>
      </c>
      <c r="D1817" s="3" t="str">
        <f>IFERROR(__xludf.DUMMYFUNCTION("GOOGLETRANSLATE(A1817, ""en"", ""zh-CN"")"),"技能")</f>
        <v>技能</v>
      </c>
    </row>
    <row r="1818" ht="15.75" customHeight="1">
      <c r="A1818" s="3" t="s">
        <v>1841</v>
      </c>
      <c r="B1818" s="3" t="s">
        <v>8</v>
      </c>
      <c r="C1818" s="3" t="s">
        <v>6</v>
      </c>
      <c r="D1818" s="3" t="str">
        <f>IFERROR(__xludf.DUMMYFUNCTION("GOOGLETRANSLATE(A1818, ""en"", ""zh-CN"")"),"故事")</f>
        <v>故事</v>
      </c>
    </row>
    <row r="1819" ht="15.75" customHeight="1">
      <c r="A1819" s="3" t="s">
        <v>1842</v>
      </c>
      <c r="B1819" s="3" t="s">
        <v>8</v>
      </c>
      <c r="C1819" s="3" t="s">
        <v>16</v>
      </c>
      <c r="D1819" s="3" t="str">
        <f>IFERROR(__xludf.DUMMYFUNCTION("GOOGLETRANSLATE(A1819, ""en"", ""zh-CN"")"),"皮肤")</f>
        <v>皮肤</v>
      </c>
    </row>
    <row r="1820" ht="15.75" customHeight="1">
      <c r="A1820" s="3" t="s">
        <v>1843</v>
      </c>
      <c r="B1820" s="3" t="s">
        <v>8</v>
      </c>
      <c r="C1820" s="3" t="s">
        <v>6</v>
      </c>
      <c r="D1820" s="3" t="str">
        <f>IFERROR(__xludf.DUMMYFUNCTION("GOOGLETRANSLATE(A1820, ""en"", ""zh-CN"")"),"裙子")</f>
        <v>裙子</v>
      </c>
    </row>
    <row r="1821" ht="15.75" customHeight="1">
      <c r="A1821" s="3" t="s">
        <v>1844</v>
      </c>
      <c r="B1821" s="3" t="s">
        <v>22</v>
      </c>
      <c r="C1821" s="3" t="s">
        <v>16</v>
      </c>
      <c r="D1821" s="3" t="str">
        <f>IFERROR(__xludf.DUMMYFUNCTION("GOOGLETRANSLATE(A1821, ""en"", ""zh-CN"")"),"奇怪的")</f>
        <v>奇怪的</v>
      </c>
    </row>
    <row r="1822" ht="15.75" customHeight="1">
      <c r="A1822" s="3" t="s">
        <v>1845</v>
      </c>
      <c r="B1822" s="3" t="s">
        <v>22</v>
      </c>
      <c r="C1822" s="3" t="s">
        <v>9</v>
      </c>
      <c r="D1822" s="3" t="str">
        <f>IFERROR(__xludf.DUMMYFUNCTION("GOOGLETRANSLATE(A1822, ""en"", ""zh-CN"")"),"次要")</f>
        <v>次要</v>
      </c>
    </row>
    <row r="1823" ht="15.75" customHeight="1">
      <c r="A1823" s="3" t="s">
        <v>1846</v>
      </c>
      <c r="B1823" s="3" t="s">
        <v>8</v>
      </c>
      <c r="C1823" s="3" t="s">
        <v>16</v>
      </c>
      <c r="D1823" s="3" t="str">
        <f>IFERROR(__xludf.DUMMYFUNCTION("GOOGLETRANSLATE(A1823, ""en"", ""zh-CN"")"),"天空")</f>
        <v>天空</v>
      </c>
    </row>
    <row r="1824" ht="15.75" customHeight="1">
      <c r="A1824" s="3" t="s">
        <v>1847</v>
      </c>
      <c r="B1824" s="3" t="s">
        <v>8</v>
      </c>
      <c r="C1824" s="3" t="s">
        <v>9</v>
      </c>
      <c r="D1824" s="3" t="str">
        <f>IFERROR(__xludf.DUMMYFUNCTION("GOOGLETRANSLATE(A1824, ""en"", ""zh-CN"")"),"陌生人")</f>
        <v>陌生人</v>
      </c>
    </row>
    <row r="1825" ht="15.75" customHeight="1">
      <c r="A1825" s="3" t="s">
        <v>1848</v>
      </c>
      <c r="B1825" s="3" t="s">
        <v>20</v>
      </c>
      <c r="C1825" s="3" t="s">
        <v>16</v>
      </c>
      <c r="D1825" s="3" t="str">
        <f>IFERROR(__xludf.DUMMYFUNCTION("GOOGLETRANSLATE(A1825, ""en"", ""zh-CN"")"),"第二")</f>
        <v>第二</v>
      </c>
    </row>
    <row r="1826" ht="15.75" customHeight="1">
      <c r="A1826" s="3" t="s">
        <v>1849</v>
      </c>
      <c r="B1826" s="3" t="s">
        <v>8</v>
      </c>
      <c r="C1826" s="3" t="s">
        <v>13</v>
      </c>
      <c r="D1826" s="3" t="str">
        <f>IFERROR(__xludf.DUMMYFUNCTION("GOOGLETRANSLATE(A1826, ""en"", ""zh-CN"")"),"奴隶")</f>
        <v>奴隶</v>
      </c>
    </row>
    <row r="1827" ht="15.75" customHeight="1">
      <c r="A1827" s="3" t="s">
        <v>1850</v>
      </c>
      <c r="B1827" s="3" t="s">
        <v>8</v>
      </c>
      <c r="C1827" s="3" t="s">
        <v>16</v>
      </c>
      <c r="D1827" s="3" t="str">
        <f>IFERROR(__xludf.DUMMYFUNCTION("GOOGLETRANSLATE(A1827, ""en"", ""zh-CN"")"),"战略")</f>
        <v>战略</v>
      </c>
    </row>
    <row r="1828" ht="15.75" customHeight="1">
      <c r="A1828" s="3" t="s">
        <v>1851</v>
      </c>
      <c r="B1828" s="3" t="s">
        <v>8</v>
      </c>
      <c r="C1828" s="3" t="s">
        <v>13</v>
      </c>
      <c r="D1828" s="3" t="str">
        <f>IFERROR(__xludf.DUMMYFUNCTION("GOOGLETRANSLATE(A1828, ""en"", ""zh-CN"")"),"溪流")</f>
        <v>溪流</v>
      </c>
    </row>
    <row r="1829" ht="15.75" customHeight="1">
      <c r="A1829" s="3" t="s">
        <v>1852</v>
      </c>
      <c r="B1829" s="3" t="s">
        <v>8</v>
      </c>
      <c r="C1829" s="3" t="s">
        <v>16</v>
      </c>
      <c r="D1829" s="3" t="str">
        <f>IFERROR(__xludf.DUMMYFUNCTION("GOOGLETRANSLATE(A1829, ""en"", ""zh-CN"")"),"秘书")</f>
        <v>秘书</v>
      </c>
    </row>
    <row r="1830" ht="15.75" customHeight="1">
      <c r="A1830" s="3" t="s">
        <v>1853</v>
      </c>
      <c r="B1830" s="3" t="s">
        <v>8</v>
      </c>
      <c r="C1830" s="3" t="s">
        <v>6</v>
      </c>
      <c r="D1830" s="3" t="str">
        <f>IFERROR(__xludf.DUMMYFUNCTION("GOOGLETRANSLATE(A1830, ""en"", ""zh-CN"")"),"街道")</f>
        <v>街道</v>
      </c>
    </row>
    <row r="1831" ht="15.75" customHeight="1">
      <c r="A1831" s="3" t="s">
        <v>1854</v>
      </c>
      <c r="B1831" s="3" t="s">
        <v>8</v>
      </c>
      <c r="C1831" s="3" t="s">
        <v>6</v>
      </c>
      <c r="D1831" s="3" t="str">
        <f>IFERROR(__xludf.DUMMYFUNCTION("GOOGLETRANSLATE(A1831, ""en"", ""zh-CN"")"),"部分")</f>
        <v>部分</v>
      </c>
    </row>
    <row r="1832" ht="15.75" customHeight="1">
      <c r="A1832" s="3" t="s">
        <v>1855</v>
      </c>
      <c r="B1832" s="3" t="s">
        <v>8</v>
      </c>
      <c r="C1832" s="3" t="s">
        <v>9</v>
      </c>
      <c r="D1832" s="3" t="str">
        <f>IFERROR(__xludf.DUMMYFUNCTION("GOOGLETRANSLATE(A1832, ""en"", ""zh-CN"")"),"力量")</f>
        <v>力量</v>
      </c>
    </row>
    <row r="1833" ht="15.75" customHeight="1">
      <c r="A1833" s="3" t="s">
        <v>1856</v>
      </c>
      <c r="B1833" s="3" t="s">
        <v>8</v>
      </c>
      <c r="C1833" s="3" t="s">
        <v>13</v>
      </c>
      <c r="D1833" s="3" t="str">
        <f>IFERROR(__xludf.DUMMYFUNCTION("GOOGLETRANSLATE(A1833, ""en"", ""zh-CN"")"),"部门")</f>
        <v>部门</v>
      </c>
    </row>
    <row r="1834" ht="15.75" customHeight="1">
      <c r="A1834" s="3" t="s">
        <v>1857</v>
      </c>
      <c r="B1834" s="3" t="s">
        <v>22</v>
      </c>
      <c r="C1834" s="3" t="s">
        <v>13</v>
      </c>
      <c r="D1834" s="3" t="str">
        <f>IFERROR(__xludf.DUMMYFUNCTION("GOOGLETRANSLATE(A1834, ""en"", ""zh-CN"")"),"轻微")</f>
        <v>轻微</v>
      </c>
    </row>
    <row r="1835" ht="15.75" customHeight="1">
      <c r="A1835" s="3" t="s">
        <v>1858</v>
      </c>
      <c r="B1835" s="3" t="s">
        <v>20</v>
      </c>
      <c r="C1835" s="3" t="s">
        <v>9</v>
      </c>
      <c r="D1835" s="3" t="str">
        <f>IFERROR(__xludf.DUMMYFUNCTION("GOOGLETRANSLATE(A1835, ""en"", ""zh-CN"")"),"轻微地")</f>
        <v>轻微地</v>
      </c>
    </row>
    <row r="1836" ht="15.75" customHeight="1">
      <c r="A1836" s="3" t="s">
        <v>1859</v>
      </c>
      <c r="B1836" s="3" t="s">
        <v>8</v>
      </c>
      <c r="C1836" s="3" t="s">
        <v>9</v>
      </c>
      <c r="D1836" s="3" t="str">
        <f>IFERROR(__xludf.DUMMYFUNCTION("GOOGLETRANSLATE(A1836, ""en"", ""zh-CN"")"),"安全")</f>
        <v>安全</v>
      </c>
    </row>
    <row r="1837" ht="15.75" customHeight="1">
      <c r="A1837" s="3" t="s">
        <v>1860</v>
      </c>
      <c r="B1837" s="3" t="s">
        <v>12</v>
      </c>
      <c r="C1837" s="3" t="s">
        <v>13</v>
      </c>
      <c r="D1837" s="3" t="str">
        <f>IFERROR(__xludf.DUMMYFUNCTION("GOOGLETRANSLATE(A1837, ""en"", ""zh-CN"")"),"滑")</f>
        <v>滑</v>
      </c>
    </row>
    <row r="1838" ht="15.75" customHeight="1">
      <c r="A1838" s="3" t="s">
        <v>1861</v>
      </c>
      <c r="B1838" s="3" t="s">
        <v>22</v>
      </c>
      <c r="C1838" s="3" t="s">
        <v>13</v>
      </c>
      <c r="D1838" s="3" t="str">
        <f>IFERROR(__xludf.DUMMYFUNCTION("GOOGLETRANSLATE(A1838, ""en"", ""zh-CN"")"),"严格的")</f>
        <v>严格的</v>
      </c>
    </row>
    <row r="1839" ht="15.75" customHeight="1">
      <c r="A1839" s="3" t="s">
        <v>1862</v>
      </c>
      <c r="B1839" s="3" t="s">
        <v>12</v>
      </c>
      <c r="C1839" s="3" t="s">
        <v>6</v>
      </c>
      <c r="D1839" s="3" t="str">
        <f>IFERROR(__xludf.DUMMYFUNCTION("GOOGLETRANSLATE(A1839, ""en"", ""zh-CN"")"),"看")</f>
        <v>看</v>
      </c>
    </row>
    <row r="1840" ht="15.75" customHeight="1">
      <c r="A1840" s="3" t="s">
        <v>1863</v>
      </c>
      <c r="B1840" s="3" t="s">
        <v>8</v>
      </c>
      <c r="C1840" s="3" t="s">
        <v>13</v>
      </c>
      <c r="D1840" s="3" t="str">
        <f>IFERROR(__xludf.DUMMYFUNCTION("GOOGLETRANSLATE(A1840, ""en"", ""zh-CN"")"),"v。，")</f>
        <v>v。，</v>
      </c>
    </row>
    <row r="1841" ht="15.75" customHeight="1">
      <c r="A1841" s="3" t="s">
        <v>1864</v>
      </c>
      <c r="B1841" s="3" t="s">
        <v>8</v>
      </c>
      <c r="C1841" s="3" t="s">
        <v>9</v>
      </c>
      <c r="D1841" s="3" t="str">
        <f>IFERROR(__xludf.DUMMYFUNCTION("GOOGLETRANSLATE(A1841, ""en"", ""zh-CN"")"),"种子")</f>
        <v>种子</v>
      </c>
    </row>
    <row r="1842" ht="15.75" customHeight="1">
      <c r="A1842" s="3" t="s">
        <v>1865</v>
      </c>
      <c r="B1842" s="3" t="s">
        <v>8</v>
      </c>
      <c r="C1842" s="3" t="s">
        <v>9</v>
      </c>
      <c r="D1842" s="3" t="str">
        <f>IFERROR(__xludf.DUMMYFUNCTION("GOOGLETRANSLATE(A1842, ""en"", ""zh-CN"")"),"细绳")</f>
        <v>细绳</v>
      </c>
    </row>
    <row r="1843" ht="15.75" customHeight="1">
      <c r="A1843" s="3" t="s">
        <v>1866</v>
      </c>
      <c r="B1843" s="3" t="s">
        <v>12</v>
      </c>
      <c r="C1843" s="3" t="s">
        <v>13</v>
      </c>
      <c r="D1843" s="3" t="str">
        <f>IFERROR(__xludf.DUMMYFUNCTION("GOOGLETRANSLATE(A1843, ""en"", ""zh-CN"")"),"寻找")</f>
        <v>寻找</v>
      </c>
    </row>
    <row r="1844" ht="15.75" customHeight="1">
      <c r="A1844" s="3" t="s">
        <v>1867</v>
      </c>
      <c r="B1844" s="3" t="s">
        <v>20</v>
      </c>
      <c r="C1844" s="3" t="s">
        <v>16</v>
      </c>
      <c r="D1844" s="3" t="str">
        <f>IFERROR(__xludf.DUMMYFUNCTION("GOOGLETRANSLATE(A1844, ""en"", ""zh-CN"")"),"慢慢地")</f>
        <v>慢慢地</v>
      </c>
    </row>
    <row r="1845" ht="15.75" customHeight="1">
      <c r="A1845" s="3" t="s">
        <v>1868</v>
      </c>
      <c r="B1845" s="3" t="s">
        <v>22</v>
      </c>
      <c r="C1845" s="3" t="s">
        <v>6</v>
      </c>
      <c r="D1845" s="3" t="str">
        <f>IFERROR(__xludf.DUMMYFUNCTION("GOOGLETRANSLATE(A1845, ""en"", ""zh-CN"")"),"强的")</f>
        <v>强的</v>
      </c>
    </row>
    <row r="1846" ht="15.75" customHeight="1">
      <c r="A1846" s="3" t="s">
        <v>1869</v>
      </c>
      <c r="B1846" s="3" t="s">
        <v>12</v>
      </c>
      <c r="C1846" s="3" t="s">
        <v>16</v>
      </c>
      <c r="D1846" s="3" t="str">
        <f>IFERROR(__xludf.DUMMYFUNCTION("GOOGLETRANSLATE(A1846, ""en"", ""zh-CN"")"),"似乎")</f>
        <v>似乎</v>
      </c>
    </row>
    <row r="1847" ht="15.75" customHeight="1">
      <c r="A1847" s="3" t="s">
        <v>1870</v>
      </c>
      <c r="B1847" s="3" t="s">
        <v>22</v>
      </c>
      <c r="C1847" s="3" t="s">
        <v>6</v>
      </c>
      <c r="D1847" s="3" t="str">
        <f>IFERROR(__xludf.DUMMYFUNCTION("GOOGLETRANSLATE(A1847, ""en"", ""zh-CN"")"),"小的")</f>
        <v>小的</v>
      </c>
    </row>
    <row r="1848" ht="15.75" customHeight="1">
      <c r="A1848" s="3" t="s">
        <v>1871</v>
      </c>
      <c r="B1848" s="3" t="s">
        <v>20</v>
      </c>
      <c r="C1848" s="3" t="s">
        <v>9</v>
      </c>
      <c r="D1848" s="3" t="str">
        <f>IFERROR(__xludf.DUMMYFUNCTION("GOOGLETRANSLATE(A1848, ""en"", ""zh-CN"")"),"强烈")</f>
        <v>强烈</v>
      </c>
    </row>
    <row r="1849" ht="15.75" customHeight="1">
      <c r="A1849" s="3" t="s">
        <v>1872</v>
      </c>
      <c r="B1849" s="3" t="s">
        <v>12</v>
      </c>
      <c r="C1849" s="3" t="s">
        <v>13</v>
      </c>
      <c r="D1849" s="3" t="str">
        <f>IFERROR(__xludf.DUMMYFUNCTION("GOOGLETRANSLATE(A1849, ""en"", ""zh-CN"")"),"选择")</f>
        <v>选择</v>
      </c>
    </row>
    <row r="1850" ht="15.75" customHeight="1">
      <c r="A1850" s="3" t="s">
        <v>1873</v>
      </c>
      <c r="B1850" s="3" t="s">
        <v>22</v>
      </c>
      <c r="C1850" s="3" t="s">
        <v>9</v>
      </c>
      <c r="D1850" s="3" t="str">
        <f>IFERROR(__xludf.DUMMYFUNCTION("GOOGLETRANSLATE(A1850, ""en"", ""zh-CN"")"),"聪明的")</f>
        <v>聪明的</v>
      </c>
    </row>
    <row r="1851" ht="15.75" customHeight="1">
      <c r="A1851" s="3" t="s">
        <v>1874</v>
      </c>
      <c r="B1851" s="3" t="s">
        <v>8</v>
      </c>
      <c r="C1851" s="3" t="s">
        <v>13</v>
      </c>
      <c r="D1851" s="3" t="str">
        <f>IFERROR(__xludf.DUMMYFUNCTION("GOOGLETRANSLATE(A1851, ""en"", ""zh-CN"")"),"选择")</f>
        <v>选择</v>
      </c>
    </row>
    <row r="1852" ht="15.75" customHeight="1">
      <c r="A1852" s="3" t="s">
        <v>1875</v>
      </c>
      <c r="B1852" s="3" t="s">
        <v>8</v>
      </c>
      <c r="C1852" s="3" t="s">
        <v>16</v>
      </c>
      <c r="D1852" s="3" t="str">
        <f>IFERROR(__xludf.DUMMYFUNCTION("GOOGLETRANSLATE(A1852, ""en"", ""zh-CN"")"),"手机")</f>
        <v>手机</v>
      </c>
    </row>
    <row r="1853" ht="15.75" customHeight="1">
      <c r="A1853" s="3" t="s">
        <v>1876</v>
      </c>
      <c r="B1853" s="3" t="s">
        <v>8</v>
      </c>
      <c r="C1853" s="3" t="s">
        <v>13</v>
      </c>
      <c r="D1853" s="3" t="str">
        <f>IFERROR(__xludf.DUMMYFUNCTION("GOOGLETRANSLATE(A1853, ""en"", ""zh-CN"")"),"自己")</f>
        <v>自己</v>
      </c>
    </row>
    <row r="1854" ht="15.75" customHeight="1">
      <c r="A1854" s="3" t="s">
        <v>1877</v>
      </c>
      <c r="B1854" s="3" t="s">
        <v>8</v>
      </c>
      <c r="C1854" s="3" t="s">
        <v>6</v>
      </c>
      <c r="D1854" s="3" t="str">
        <f>IFERROR(__xludf.DUMMYFUNCTION("GOOGLETRANSLATE(A1854, ""en"", ""zh-CN"")"),"学生")</f>
        <v>学生</v>
      </c>
    </row>
    <row r="1855" ht="15.75" customHeight="1">
      <c r="A1855" s="3" t="s">
        <v>1878</v>
      </c>
      <c r="B1855" s="3" t="s">
        <v>12</v>
      </c>
      <c r="C1855" s="3" t="s">
        <v>6</v>
      </c>
      <c r="D1855" s="3" t="str">
        <f>IFERROR(__xludf.DUMMYFUNCTION("GOOGLETRANSLATE(A1855, ""en"", ""zh-CN"")"),"卖")</f>
        <v>卖</v>
      </c>
    </row>
    <row r="1856" ht="15.75" customHeight="1">
      <c r="A1856" s="3" t="s">
        <v>1879</v>
      </c>
      <c r="B1856" s="3" t="s">
        <v>8</v>
      </c>
      <c r="C1856" s="3" t="s">
        <v>9</v>
      </c>
      <c r="D1856" s="3" t="str">
        <f>IFERROR(__xludf.DUMMYFUNCTION("GOOGLETRANSLATE(A1856, ""en"", ""zh-CN"")"),"工作室")</f>
        <v>工作室</v>
      </c>
    </row>
    <row r="1857" ht="15.75" customHeight="1">
      <c r="A1857" s="3" t="s">
        <v>1880</v>
      </c>
      <c r="B1857" s="3" t="s">
        <v>12</v>
      </c>
      <c r="C1857" s="3" t="s">
        <v>6</v>
      </c>
      <c r="D1857" s="3" t="str">
        <f>IFERROR(__xludf.DUMMYFUNCTION("GOOGLETRANSLATE(A1857, ""en"", ""zh-CN"")"),"发送")</f>
        <v>发送</v>
      </c>
    </row>
    <row r="1858" ht="15.75" customHeight="1">
      <c r="A1858" s="3" t="s">
        <v>1881</v>
      </c>
      <c r="B1858" s="3" t="s">
        <v>22</v>
      </c>
      <c r="C1858" s="3" t="s">
        <v>13</v>
      </c>
      <c r="D1858" s="3" t="str">
        <f>IFERROR(__xludf.DUMMYFUNCTION("GOOGLETRANSLATE(A1858, ""en"", ""zh-CN"")"),"高级的")</f>
        <v>高级的</v>
      </c>
    </row>
    <row r="1859" ht="15.75" customHeight="1">
      <c r="A1859" s="3" t="s">
        <v>1882</v>
      </c>
      <c r="B1859" s="3" t="s">
        <v>8</v>
      </c>
      <c r="C1859" s="3" t="s">
        <v>16</v>
      </c>
      <c r="D1859" s="3" t="str">
        <f>IFERROR(__xludf.DUMMYFUNCTION("GOOGLETRANSLATE(A1859, ""en"", ""zh-CN"")"),"抽烟")</f>
        <v>抽烟</v>
      </c>
    </row>
    <row r="1860" ht="15.75" customHeight="1">
      <c r="A1860" s="3" t="s">
        <v>1883</v>
      </c>
      <c r="B1860" s="3" t="s">
        <v>22</v>
      </c>
      <c r="C1860" s="3" t="s">
        <v>9</v>
      </c>
      <c r="D1860" s="3" t="str">
        <f>IFERROR(__xludf.DUMMYFUNCTION("GOOGLETRANSLATE(A1860, ""en"", ""zh-CN"")"),"光滑的")</f>
        <v>光滑的</v>
      </c>
    </row>
    <row r="1861" ht="15.75" customHeight="1">
      <c r="A1861" s="3" t="s">
        <v>1884</v>
      </c>
      <c r="B1861" s="3" t="s">
        <v>22</v>
      </c>
      <c r="C1861" s="3" t="s">
        <v>16</v>
      </c>
      <c r="D1861" s="3" t="str">
        <f>IFERROR(__xludf.DUMMYFUNCTION("GOOGLETRANSLATE(A1861, ""en"", ""zh-CN"")"),"愚蠢的")</f>
        <v>愚蠢的</v>
      </c>
    </row>
    <row r="1862" ht="15.75" customHeight="1">
      <c r="A1862" s="3" t="s">
        <v>1885</v>
      </c>
      <c r="B1862" s="3" t="s">
        <v>22</v>
      </c>
      <c r="C1862" s="3" t="s">
        <v>9</v>
      </c>
      <c r="D1862" s="3" t="str">
        <f>IFERROR(__xludf.DUMMYFUNCTION("GOOGLETRANSLATE(A1862, ""en"", ""zh-CN"")"),"明智")</f>
        <v>明智</v>
      </c>
    </row>
    <row r="1863" ht="15.75" customHeight="1">
      <c r="A1863" s="3" t="s">
        <v>1886</v>
      </c>
      <c r="B1863" s="3" t="s">
        <v>8</v>
      </c>
      <c r="C1863" s="3" t="s">
        <v>6</v>
      </c>
      <c r="D1863" s="3" t="str">
        <f>IFERROR(__xludf.DUMMYFUNCTION("GOOGLETRANSLATE(A1863, ""en"", ""zh-CN"")"),"蛇")</f>
        <v>蛇</v>
      </c>
    </row>
    <row r="1864" ht="15.75" customHeight="1">
      <c r="A1864" s="3" t="s">
        <v>1887</v>
      </c>
      <c r="B1864" s="3" t="s">
        <v>8</v>
      </c>
      <c r="C1864" s="3" t="s">
        <v>6</v>
      </c>
      <c r="D1864" s="3" t="str">
        <f>IFERROR(__xludf.DUMMYFUNCTION("GOOGLETRANSLATE(A1864, ""en"", ""zh-CN"")"),"风格")</f>
        <v>风格</v>
      </c>
    </row>
    <row r="1865" ht="15.75" customHeight="1">
      <c r="A1865" s="3" t="s">
        <v>1888</v>
      </c>
      <c r="B1865" s="3" t="s">
        <v>22</v>
      </c>
      <c r="C1865" s="3" t="s">
        <v>13</v>
      </c>
      <c r="D1865" s="3" t="str">
        <f>IFERROR(__xludf.DUMMYFUNCTION("GOOGLETRANSLATE(A1865, ""en"", ""zh-CN"")"),"敏感的")</f>
        <v>敏感的</v>
      </c>
    </row>
    <row r="1866" ht="15.75" customHeight="1">
      <c r="A1866" s="3" t="s">
        <v>1889</v>
      </c>
      <c r="B1866" s="3" t="s">
        <v>12</v>
      </c>
      <c r="C1866" s="3" t="s">
        <v>13</v>
      </c>
      <c r="D1866" s="3" t="str">
        <f>IFERROR(__xludf.DUMMYFUNCTION("GOOGLETRANSLATE(A1866, ""en"", ""zh-CN"")"),"提交")</f>
        <v>提交</v>
      </c>
    </row>
    <row r="1867" ht="15.75" customHeight="1">
      <c r="A1867" s="3" t="s">
        <v>1890</v>
      </c>
      <c r="B1867" s="3" t="s">
        <v>8</v>
      </c>
      <c r="C1867" s="3" t="s">
        <v>16</v>
      </c>
      <c r="D1867" s="3" t="str">
        <f>IFERROR(__xludf.DUMMYFUNCTION("GOOGLETRANSLATE(A1867, ""en"", ""zh-CN"")"),"肥皂")</f>
        <v>肥皂</v>
      </c>
    </row>
    <row r="1868" ht="15.75" customHeight="1">
      <c r="A1868" s="3" t="s">
        <v>1891</v>
      </c>
      <c r="B1868" s="3" t="s">
        <v>8</v>
      </c>
      <c r="C1868" s="3" t="s">
        <v>9</v>
      </c>
      <c r="D1868" s="3" t="str">
        <f>IFERROR(__xludf.DUMMYFUNCTION("GOOGLETRANSLATE(A1868, ""en"", ""zh-CN"")"),"物质")</f>
        <v>物质</v>
      </c>
    </row>
    <row r="1869" ht="15.75" customHeight="1">
      <c r="A1869" s="3" t="s">
        <v>1892</v>
      </c>
      <c r="B1869" s="3" t="s">
        <v>8</v>
      </c>
      <c r="C1869" s="3" t="s">
        <v>6</v>
      </c>
      <c r="D1869" s="3" t="str">
        <f>IFERROR(__xludf.DUMMYFUNCTION("GOOGLETRANSLATE(A1869, ""en"", ""zh-CN"")"),"九月")</f>
        <v>九月</v>
      </c>
    </row>
    <row r="1870" ht="15.75" customHeight="1">
      <c r="A1870" s="3" t="s">
        <v>1893</v>
      </c>
      <c r="B1870" s="3" t="s">
        <v>8</v>
      </c>
      <c r="C1870" s="3" t="s">
        <v>16</v>
      </c>
      <c r="D1870" s="3" t="str">
        <f>IFERROR(__xludf.DUMMYFUNCTION("GOOGLETRANSLATE(A1870, ""en"", ""zh-CN"")"),"足球")</f>
        <v>足球</v>
      </c>
    </row>
    <row r="1871" ht="15.75" customHeight="1">
      <c r="A1871" s="3" t="s">
        <v>1894</v>
      </c>
      <c r="B1871" s="3" t="s">
        <v>12</v>
      </c>
      <c r="C1871" s="3" t="s">
        <v>16</v>
      </c>
      <c r="D1871" s="3" t="str">
        <f>IFERROR(__xludf.DUMMYFUNCTION("GOOGLETRANSLATE(A1871, ""en"", ""zh-CN"")"),"成功")</f>
        <v>成功</v>
      </c>
    </row>
    <row r="1872" ht="15.75" customHeight="1">
      <c r="A1872" s="3" t="s">
        <v>1895</v>
      </c>
      <c r="B1872" s="3" t="s">
        <v>8</v>
      </c>
      <c r="C1872" s="3" t="s">
        <v>13</v>
      </c>
      <c r="D1872" s="3" t="str">
        <f>IFERROR(__xludf.DUMMYFUNCTION("GOOGLETRANSLATE(A1872, ""en"", ""zh-CN"")"),"顺序")</f>
        <v>顺序</v>
      </c>
    </row>
    <row r="1873" ht="15.75" customHeight="1">
      <c r="A1873" s="3" t="s">
        <v>1896</v>
      </c>
      <c r="B1873" s="3" t="s">
        <v>22</v>
      </c>
      <c r="C1873" s="3" t="s">
        <v>16</v>
      </c>
      <c r="D1873" s="3" t="str">
        <f>IFERROR(__xludf.DUMMYFUNCTION("GOOGLETRANSLATE(A1873, ""en"", ""zh-CN"")"),"社会的")</f>
        <v>社会的</v>
      </c>
    </row>
    <row r="1874" ht="15.75" customHeight="1">
      <c r="A1874" s="3" t="s">
        <v>1897</v>
      </c>
      <c r="B1874" s="3" t="s">
        <v>8</v>
      </c>
      <c r="C1874" s="3" t="s">
        <v>6</v>
      </c>
      <c r="D1874" s="3" t="str">
        <f>IFERROR(__xludf.DUMMYFUNCTION("GOOGLETRANSLATE(A1874, ""en"", ""zh-CN"")"),"成功")</f>
        <v>成功</v>
      </c>
    </row>
    <row r="1875" ht="15.75" customHeight="1">
      <c r="A1875" s="3" t="s">
        <v>1898</v>
      </c>
      <c r="B1875" s="3" t="s">
        <v>8</v>
      </c>
      <c r="C1875" s="3" t="s">
        <v>16</v>
      </c>
      <c r="D1875" s="3" t="str">
        <f>IFERROR(__xludf.DUMMYFUNCTION("GOOGLETRANSLATE(A1875, ""en"", ""zh-CN"")"),"系列")</f>
        <v>系列</v>
      </c>
    </row>
    <row r="1876" ht="15.75" customHeight="1">
      <c r="A1876" s="3" t="s">
        <v>1899</v>
      </c>
      <c r="B1876" s="3" t="s">
        <v>8</v>
      </c>
      <c r="C1876" s="3" t="s">
        <v>16</v>
      </c>
      <c r="D1876" s="3" t="str">
        <f>IFERROR(__xludf.DUMMYFUNCTION("GOOGLETRANSLATE(A1876, ""en"", ""zh-CN"")"),"社会")</f>
        <v>社会</v>
      </c>
    </row>
    <row r="1877" ht="15.75" customHeight="1">
      <c r="A1877" s="3" t="s">
        <v>1900</v>
      </c>
      <c r="B1877" s="3" t="s">
        <v>22</v>
      </c>
      <c r="C1877" s="3" t="s">
        <v>16</v>
      </c>
      <c r="D1877" s="3" t="str">
        <f>IFERROR(__xludf.DUMMYFUNCTION("GOOGLETRANSLATE(A1877, ""en"", ""zh-CN"")"),"成功的")</f>
        <v>成功的</v>
      </c>
    </row>
    <row r="1878" ht="15.75" customHeight="1">
      <c r="A1878" s="3" t="s">
        <v>1901</v>
      </c>
      <c r="B1878" s="3" t="s">
        <v>22</v>
      </c>
      <c r="C1878" s="3" t="s">
        <v>16</v>
      </c>
      <c r="D1878" s="3" t="str">
        <f>IFERROR(__xludf.DUMMYFUNCTION("GOOGLETRANSLATE(A1878, ""en"", ""zh-CN"")"),"严肃的")</f>
        <v>严肃的</v>
      </c>
    </row>
    <row r="1879" ht="15.75" customHeight="1">
      <c r="A1879" s="3" t="s">
        <v>1902</v>
      </c>
      <c r="B1879" s="3" t="s">
        <v>8</v>
      </c>
      <c r="C1879" s="3" t="s">
        <v>16</v>
      </c>
      <c r="D1879" s="3" t="str">
        <f>IFERROR(__xludf.DUMMYFUNCTION("GOOGLETRANSLATE(A1879, ""en"", ""zh-CN"")"),"短袜")</f>
        <v>短袜</v>
      </c>
    </row>
    <row r="1880" ht="15.75" customHeight="1">
      <c r="A1880" s="3" t="s">
        <v>1903</v>
      </c>
      <c r="B1880" s="3" t="s">
        <v>20</v>
      </c>
      <c r="C1880" s="3" t="s">
        <v>9</v>
      </c>
      <c r="D1880" s="3" t="str">
        <f>IFERROR(__xludf.DUMMYFUNCTION("GOOGLETRANSLATE(A1880, ""en"", ""zh-CN"")"),"成功地")</f>
        <v>成功地</v>
      </c>
    </row>
    <row r="1881" ht="15.75" customHeight="1">
      <c r="A1881" s="3" t="s">
        <v>1904</v>
      </c>
      <c r="B1881" s="3" t="s">
        <v>20</v>
      </c>
      <c r="C1881" s="3" t="s">
        <v>9</v>
      </c>
      <c r="D1881" s="3" t="str">
        <f>IFERROR(__xludf.DUMMYFUNCTION("GOOGLETRANSLATE(A1881, ""en"", ""zh-CN"")"),"严重地")</f>
        <v>严重地</v>
      </c>
    </row>
    <row r="1882" ht="15.75" customHeight="1">
      <c r="A1882" s="3" t="s">
        <v>1905</v>
      </c>
      <c r="B1882" s="3" t="s">
        <v>22</v>
      </c>
      <c r="C1882" s="3" t="s">
        <v>16</v>
      </c>
      <c r="D1882" s="3" t="str">
        <f>IFERROR(__xludf.DUMMYFUNCTION("GOOGLETRANSLATE(A1882, ""en"", ""zh-CN"")"),"柔软的")</f>
        <v>柔软的</v>
      </c>
    </row>
    <row r="1883" ht="15.75" customHeight="1">
      <c r="A1883" s="3" t="s">
        <v>1906</v>
      </c>
      <c r="B1883" s="3" t="s">
        <v>137</v>
      </c>
      <c r="C1883" s="3" t="s">
        <v>16</v>
      </c>
      <c r="D1883" s="3" t="str">
        <f>IFERROR(__xludf.DUMMYFUNCTION("GOOGLETRANSLATE(A1883, ""en"", ""zh-CN"")"),"这样的")</f>
        <v>这样的</v>
      </c>
    </row>
    <row r="1884" ht="15.75" customHeight="1">
      <c r="A1884" s="3" t="s">
        <v>1907</v>
      </c>
      <c r="B1884" s="3" t="s">
        <v>8</v>
      </c>
      <c r="C1884" s="3" t="s">
        <v>9</v>
      </c>
      <c r="D1884" s="3" t="str">
        <f>IFERROR(__xludf.DUMMYFUNCTION("GOOGLETRANSLATE(A1884, ""en"", ""zh-CN"")"),"仆人")</f>
        <v>仆人</v>
      </c>
    </row>
    <row r="1885" ht="15.75" customHeight="1">
      <c r="A1885" s="3" t="s">
        <v>1908</v>
      </c>
      <c r="B1885" s="3" t="s">
        <v>8</v>
      </c>
      <c r="C1885" s="3" t="s">
        <v>9</v>
      </c>
      <c r="D1885" s="3" t="str">
        <f>IFERROR(__xludf.DUMMYFUNCTION("GOOGLETRANSLATE(A1885, ""en"", ""zh-CN"")"),"软件")</f>
        <v>软件</v>
      </c>
    </row>
    <row r="1886" ht="15.75" customHeight="1">
      <c r="A1886" s="3" t="s">
        <v>1909</v>
      </c>
      <c r="B1886" s="3" t="s">
        <v>22</v>
      </c>
      <c r="C1886" s="3" t="s">
        <v>9</v>
      </c>
      <c r="D1886" s="3" t="str">
        <f>IFERROR(__xludf.DUMMYFUNCTION("GOOGLETRANSLATE(A1886, ""en"", ""zh-CN"")"),"突然")</f>
        <v>突然</v>
      </c>
    </row>
    <row r="1887" ht="15.75" customHeight="1">
      <c r="A1887" s="3" t="s">
        <v>1910</v>
      </c>
      <c r="B1887" s="3" t="s">
        <v>12</v>
      </c>
      <c r="C1887" s="3" t="s">
        <v>16</v>
      </c>
      <c r="D1887" s="3" t="str">
        <f>IFERROR(__xludf.DUMMYFUNCTION("GOOGLETRANSLATE(A1887, ""en"", ""zh-CN"")"),"服务")</f>
        <v>服务</v>
      </c>
    </row>
    <row r="1888" ht="15.75" customHeight="1">
      <c r="A1888" s="3" t="s">
        <v>1911</v>
      </c>
      <c r="B1888" s="3" t="s">
        <v>8</v>
      </c>
      <c r="C1888" s="3" t="s">
        <v>9</v>
      </c>
      <c r="D1888" s="3" t="str">
        <f>IFERROR(__xludf.DUMMYFUNCTION("GOOGLETRANSLATE(A1888, ""en"", ""zh-CN"")"),"土壤")</f>
        <v>土壤</v>
      </c>
    </row>
    <row r="1889" ht="15.75" customHeight="1">
      <c r="A1889" s="3" t="s">
        <v>1912</v>
      </c>
      <c r="B1889" s="3" t="s">
        <v>20</v>
      </c>
      <c r="C1889" s="3" t="s">
        <v>16</v>
      </c>
      <c r="D1889" s="3" t="str">
        <f>IFERROR(__xludf.DUMMYFUNCTION("GOOGLETRANSLATE(A1889, ""en"", ""zh-CN"")"),"突然")</f>
        <v>突然</v>
      </c>
    </row>
    <row r="1890" ht="15.75" customHeight="1">
      <c r="A1890" s="3" t="s">
        <v>1913</v>
      </c>
      <c r="B1890" s="3" t="s">
        <v>8</v>
      </c>
      <c r="C1890" s="3" t="s">
        <v>16</v>
      </c>
      <c r="D1890" s="3" t="str">
        <f>IFERROR(__xludf.DUMMYFUNCTION("GOOGLETRANSLATE(A1890, ""en"", ""zh-CN"")"),"服务")</f>
        <v>服务</v>
      </c>
    </row>
    <row r="1891" ht="15.75" customHeight="1">
      <c r="A1891" s="3" t="s">
        <v>1914</v>
      </c>
      <c r="B1891" s="3" t="s">
        <v>22</v>
      </c>
      <c r="C1891" s="3" t="s">
        <v>13</v>
      </c>
      <c r="D1891" s="3" t="str">
        <f>IFERROR(__xludf.DUMMYFUNCTION("GOOGLETRANSLATE(A1891, ""en"", ""zh-CN"")"),"太阳的")</f>
        <v>太阳的</v>
      </c>
    </row>
    <row r="1892" ht="15.75" customHeight="1">
      <c r="A1892" s="3" t="s">
        <v>1915</v>
      </c>
      <c r="B1892" s="3" t="s">
        <v>12</v>
      </c>
      <c r="C1892" s="3" t="s">
        <v>9</v>
      </c>
      <c r="D1892" s="3" t="str">
        <f>IFERROR(__xludf.DUMMYFUNCTION("GOOGLETRANSLATE(A1892, ""en"", ""zh-CN"")"),"遭受")</f>
        <v>遭受</v>
      </c>
    </row>
    <row r="1893" ht="15.75" customHeight="1">
      <c r="A1893" s="3" t="s">
        <v>1916</v>
      </c>
      <c r="B1893" s="3" t="s">
        <v>8</v>
      </c>
      <c r="C1893" s="3" t="s">
        <v>13</v>
      </c>
      <c r="D1893" s="3" t="str">
        <f>IFERROR(__xludf.DUMMYFUNCTION("GOOGLETRANSLATE(A1893, ""en"", ""zh-CN"")"),"会议")</f>
        <v>会议</v>
      </c>
    </row>
    <row r="1894" ht="15.75" customHeight="1">
      <c r="A1894" s="3" t="s">
        <v>1917</v>
      </c>
      <c r="B1894" s="3" t="s">
        <v>8</v>
      </c>
      <c r="C1894" s="3" t="s">
        <v>16</v>
      </c>
      <c r="D1894" s="3" t="str">
        <f>IFERROR(__xludf.DUMMYFUNCTION("GOOGLETRANSLATE(A1894, ""en"", ""zh-CN"")"),"士兵")</f>
        <v>士兵</v>
      </c>
    </row>
    <row r="1895" ht="15.75" customHeight="1">
      <c r="A1895" s="3" t="s">
        <v>1918</v>
      </c>
      <c r="B1895" s="3" t="s">
        <v>8</v>
      </c>
      <c r="C1895" s="3" t="s">
        <v>6</v>
      </c>
      <c r="D1895" s="3" t="str">
        <f>IFERROR(__xludf.DUMMYFUNCTION("GOOGLETRANSLATE(A1895, ""en"", ""zh-CN"")"),"糖")</f>
        <v>糖</v>
      </c>
    </row>
    <row r="1896" ht="15.75" customHeight="1">
      <c r="A1896" s="3" t="s">
        <v>1919</v>
      </c>
      <c r="B1896" s="3" t="s">
        <v>12</v>
      </c>
      <c r="C1896" s="3" t="s">
        <v>16</v>
      </c>
      <c r="D1896" s="3" t="str">
        <f>IFERROR(__xludf.DUMMYFUNCTION("GOOGLETRANSLATE(A1896, ""en"", ""zh-CN"")"),"建议")</f>
        <v>建议</v>
      </c>
    </row>
    <row r="1897" ht="15.75" customHeight="1">
      <c r="A1897" s="3" t="s">
        <v>1920</v>
      </c>
      <c r="B1897" s="3" t="s">
        <v>8</v>
      </c>
      <c r="C1897" s="3" t="s">
        <v>16</v>
      </c>
      <c r="D1897" s="3" t="str">
        <f>IFERROR(__xludf.DUMMYFUNCTION("GOOGLETRANSLATE(A1897, ""en"", ""zh-CN"")"),"解决方案")</f>
        <v>解决方案</v>
      </c>
    </row>
    <row r="1898" ht="15.75" customHeight="1">
      <c r="A1898" s="3" t="s">
        <v>1921</v>
      </c>
      <c r="B1898" s="3" t="s">
        <v>8</v>
      </c>
      <c r="C1898" s="3" t="s">
        <v>16</v>
      </c>
      <c r="D1898" s="3" t="str">
        <f>IFERROR(__xludf.DUMMYFUNCTION("GOOGLETRANSLATE(A1898, ""en"", ""zh-CN"")"),"建议")</f>
        <v>建议</v>
      </c>
    </row>
    <row r="1899" ht="15.75" customHeight="1">
      <c r="A1899" s="3" t="s">
        <v>1922</v>
      </c>
      <c r="B1899" s="3" t="s">
        <v>8</v>
      </c>
      <c r="C1899" s="3" t="s">
        <v>9</v>
      </c>
      <c r="D1899" s="3" t="str">
        <f>IFERROR(__xludf.DUMMYFUNCTION("GOOGLETRANSLATE(A1899, ""en"", ""zh-CN"")"),"环境")</f>
        <v>环境</v>
      </c>
    </row>
    <row r="1900" ht="15.75" customHeight="1">
      <c r="A1900" s="3" t="s">
        <v>1923</v>
      </c>
      <c r="B1900" s="3" t="s">
        <v>12</v>
      </c>
      <c r="C1900" s="3" t="s">
        <v>16</v>
      </c>
      <c r="D1900" s="3" t="str">
        <f>IFERROR(__xludf.DUMMYFUNCTION("GOOGLETRANSLATE(A1900, ""en"", ""zh-CN"")"),"解决")</f>
        <v>解决</v>
      </c>
    </row>
    <row r="1901" ht="15.75" customHeight="1">
      <c r="A1901" s="3" t="s">
        <v>1924</v>
      </c>
      <c r="B1901" s="3" t="s">
        <v>12</v>
      </c>
      <c r="C1901" s="3" t="s">
        <v>13</v>
      </c>
      <c r="D1901" s="3" t="str">
        <f>IFERROR(__xludf.DUMMYFUNCTION("GOOGLETRANSLATE(A1901, ""en"", ""zh-CN"")"),"定居")</f>
        <v>定居</v>
      </c>
    </row>
    <row r="1902" ht="15.75" customHeight="1">
      <c r="A1902" s="3" t="s">
        <v>1925</v>
      </c>
      <c r="B1902" s="3" t="s">
        <v>22</v>
      </c>
      <c r="C1902" s="3" t="s">
        <v>9</v>
      </c>
      <c r="D1902" s="3" t="str">
        <f>IFERROR(__xludf.DUMMYFUNCTION("GOOGLETRANSLATE(A1902, ""en"", ""zh-CN"")"),"合适的")</f>
        <v>合适的</v>
      </c>
    </row>
    <row r="1903" ht="15.75" customHeight="1">
      <c r="A1903" s="3" t="s">
        <v>1926</v>
      </c>
      <c r="B1903" s="3" t="s">
        <v>227</v>
      </c>
      <c r="C1903" s="3" t="s">
        <v>6</v>
      </c>
      <c r="D1903" s="3" t="str">
        <f>IFERROR(__xludf.DUMMYFUNCTION("GOOGLETRANSLATE(A1903, ""en"", ""zh-CN"")"),"七")</f>
        <v>七</v>
      </c>
    </row>
    <row r="1904" ht="15.75" customHeight="1">
      <c r="A1904" s="3" t="s">
        <v>1927</v>
      </c>
      <c r="B1904" s="3" t="s">
        <v>146</v>
      </c>
      <c r="C1904" s="3" t="s">
        <v>6</v>
      </c>
      <c r="D1904" s="3" t="str">
        <f>IFERROR(__xludf.DUMMYFUNCTION("GOOGLETRANSLATE(A1904, ""en"", ""zh-CN"")"),"有人")</f>
        <v>有人</v>
      </c>
    </row>
    <row r="1905" ht="15.75" customHeight="1">
      <c r="A1905" s="3" t="s">
        <v>1928</v>
      </c>
      <c r="B1905" s="3" t="s">
        <v>227</v>
      </c>
      <c r="C1905" s="3" t="s">
        <v>6</v>
      </c>
      <c r="D1905" s="3" t="str">
        <f>IFERROR(__xludf.DUMMYFUNCTION("GOOGLETRANSLATE(A1905, ""en"", ""zh-CN"")"),"十七")</f>
        <v>十七</v>
      </c>
    </row>
    <row r="1906" ht="15.75" customHeight="1">
      <c r="A1906" s="3" t="s">
        <v>1929</v>
      </c>
      <c r="B1906" s="3" t="s">
        <v>146</v>
      </c>
      <c r="C1906" s="3" t="s">
        <v>6</v>
      </c>
      <c r="D1906" s="3" t="str">
        <f>IFERROR(__xludf.DUMMYFUNCTION("GOOGLETRANSLATE(A1906, ""en"", ""zh-CN"")"),"有人")</f>
        <v>有人</v>
      </c>
    </row>
    <row r="1907" ht="15.75" customHeight="1">
      <c r="A1907" s="3" t="s">
        <v>1930</v>
      </c>
      <c r="B1907" s="3" t="s">
        <v>12</v>
      </c>
      <c r="C1907" s="3" t="s">
        <v>9</v>
      </c>
      <c r="D1907" s="3" t="str">
        <f>IFERROR(__xludf.DUMMYFUNCTION("GOOGLETRANSLATE(A1907, ""en"", ""zh-CN"")"),"总结")</f>
        <v>总结</v>
      </c>
    </row>
    <row r="1908" ht="15.75" customHeight="1">
      <c r="A1908" s="3" t="s">
        <v>1931</v>
      </c>
      <c r="B1908" s="3" t="s">
        <v>227</v>
      </c>
      <c r="C1908" s="3" t="s">
        <v>6</v>
      </c>
      <c r="D1908" s="3" t="str">
        <f>IFERROR(__xludf.DUMMYFUNCTION("GOOGLETRANSLATE(A1908, ""en"", ""zh-CN"")"),"七十")</f>
        <v>七十</v>
      </c>
    </row>
    <row r="1909" ht="15.75" customHeight="1">
      <c r="A1909" s="3" t="s">
        <v>1932</v>
      </c>
      <c r="B1909" s="3" t="s">
        <v>146</v>
      </c>
      <c r="C1909" s="3" t="s">
        <v>6</v>
      </c>
      <c r="D1909" s="3" t="str">
        <f>IFERROR(__xludf.DUMMYFUNCTION("GOOGLETRANSLATE(A1909, ""en"", ""zh-CN"")"),"某物")</f>
        <v>某物</v>
      </c>
    </row>
    <row r="1910" ht="15.75" customHeight="1">
      <c r="A1910" s="3" t="s">
        <v>1933</v>
      </c>
      <c r="B1910" s="3" t="s">
        <v>8</v>
      </c>
      <c r="C1910" s="3" t="s">
        <v>9</v>
      </c>
      <c r="D1910" s="3" t="str">
        <f>IFERROR(__xludf.DUMMYFUNCTION("GOOGLETRANSLATE(A1910, ""en"", ""zh-CN"")"),"概括")</f>
        <v>概括</v>
      </c>
    </row>
    <row r="1911" ht="15.75" customHeight="1">
      <c r="A1911" s="3" t="s">
        <v>1934</v>
      </c>
      <c r="B1911" s="3" t="s">
        <v>137</v>
      </c>
      <c r="C1911" s="3" t="s">
        <v>16</v>
      </c>
      <c r="D1911" s="3" t="str">
        <f>IFERROR(__xludf.DUMMYFUNCTION("GOOGLETRANSLATE(A1911, ""en"", ""zh-CN"")"),"一些")</f>
        <v>一些</v>
      </c>
    </row>
    <row r="1912" ht="15.75" customHeight="1">
      <c r="A1912" s="3" t="s">
        <v>1935</v>
      </c>
      <c r="B1912" s="3" t="s">
        <v>20</v>
      </c>
      <c r="C1912" s="3" t="s">
        <v>6</v>
      </c>
      <c r="D1912" s="3" t="str">
        <f>IFERROR(__xludf.DUMMYFUNCTION("GOOGLETRANSLATE(A1912, ""en"", ""zh-CN"")"),"有时")</f>
        <v>有时</v>
      </c>
    </row>
    <row r="1913" ht="15.75" customHeight="1">
      <c r="A1913" s="3" t="s">
        <v>1936</v>
      </c>
      <c r="B1913" s="3" t="s">
        <v>8</v>
      </c>
      <c r="C1913" s="3" t="s">
        <v>6</v>
      </c>
      <c r="D1913" s="3" t="str">
        <f>IFERROR(__xludf.DUMMYFUNCTION("GOOGLETRANSLATE(A1913, ""en"", ""zh-CN"")"),"夏天")</f>
        <v>夏天</v>
      </c>
    </row>
    <row r="1914" ht="15.75" customHeight="1">
      <c r="A1914" s="3" t="s">
        <v>1937</v>
      </c>
      <c r="B1914" s="3" t="s">
        <v>22</v>
      </c>
      <c r="C1914" s="3" t="s">
        <v>13</v>
      </c>
      <c r="D1914" s="3" t="str">
        <f>IFERROR(__xludf.DUMMYFUNCTION("GOOGLETRANSLATE(A1914, ""en"", ""zh-CN"")"),"严重")</f>
        <v>严重</v>
      </c>
    </row>
    <row r="1915" ht="15.75" customHeight="1">
      <c r="A1915" s="3" t="s">
        <v>1938</v>
      </c>
      <c r="B1915" s="3" t="s">
        <v>20</v>
      </c>
      <c r="C1915" s="3" t="s">
        <v>13</v>
      </c>
      <c r="D1915" s="3" t="str">
        <f>IFERROR(__xludf.DUMMYFUNCTION("GOOGLETRANSLATE(A1915, ""en"", ""zh-CN"")"),"有些")</f>
        <v>有些</v>
      </c>
    </row>
    <row r="1916" ht="15.75" customHeight="1">
      <c r="A1916" s="3" t="s">
        <v>1939</v>
      </c>
      <c r="B1916" s="3" t="s">
        <v>8</v>
      </c>
      <c r="C1916" s="3" t="s">
        <v>6</v>
      </c>
      <c r="D1916" s="3" t="str">
        <f>IFERROR(__xludf.DUMMYFUNCTION("GOOGLETRANSLATE(A1916, ""en"", ""zh-CN"")"),"太阳")</f>
        <v>太阳</v>
      </c>
    </row>
    <row r="1917" ht="15.75" customHeight="1">
      <c r="A1917" s="3" t="s">
        <v>1940</v>
      </c>
      <c r="B1917" s="3" t="s">
        <v>8</v>
      </c>
      <c r="C1917" s="3" t="s">
        <v>9</v>
      </c>
      <c r="D1917" s="3" t="str">
        <f>IFERROR(__xludf.DUMMYFUNCTION("GOOGLETRANSLATE(A1917, ""en"", ""zh-CN"")"),"性别")</f>
        <v>性别</v>
      </c>
    </row>
    <row r="1918" ht="15.75" customHeight="1">
      <c r="A1918" s="3" t="s">
        <v>1941</v>
      </c>
      <c r="B1918" s="3" t="s">
        <v>8</v>
      </c>
      <c r="C1918" s="3" t="s">
        <v>6</v>
      </c>
      <c r="D1918" s="3" t="str">
        <f>IFERROR(__xludf.DUMMYFUNCTION("GOOGLETRANSLATE(A1918, ""en"", ""zh-CN"")"),"星期日")</f>
        <v>星期日</v>
      </c>
    </row>
    <row r="1919" ht="15.75" customHeight="1">
      <c r="A1919" s="3" t="s">
        <v>1942</v>
      </c>
      <c r="B1919" s="3" t="s">
        <v>22</v>
      </c>
      <c r="C1919" s="3" t="s">
        <v>9</v>
      </c>
      <c r="D1919" s="3" t="str">
        <f>IFERROR(__xludf.DUMMYFUNCTION("GOOGLETRANSLATE(A1919, ""en"", ""zh-CN"")"),"性")</f>
        <v>性</v>
      </c>
    </row>
    <row r="1920" ht="15.75" customHeight="1">
      <c r="A1920" s="3" t="s">
        <v>1943</v>
      </c>
      <c r="B1920" s="3" t="s">
        <v>8</v>
      </c>
      <c r="C1920" s="3" t="s">
        <v>6</v>
      </c>
      <c r="D1920" s="3" t="str">
        <f>IFERROR(__xludf.DUMMYFUNCTION("GOOGLETRANSLATE(A1920, ""en"", ""zh-CN"")"),"儿子")</f>
        <v>儿子</v>
      </c>
    </row>
    <row r="1921" ht="15.75" customHeight="1">
      <c r="A1921" s="3" t="s">
        <v>1944</v>
      </c>
      <c r="B1921" s="3" t="s">
        <v>8</v>
      </c>
      <c r="C1921" s="3" t="s">
        <v>6</v>
      </c>
      <c r="D1921" s="3" t="str">
        <f>IFERROR(__xludf.DUMMYFUNCTION("GOOGLETRANSLATE(A1921, ""en"", ""zh-CN"")"),"超级市场")</f>
        <v>超级市场</v>
      </c>
    </row>
    <row r="1922" ht="15.75" customHeight="1">
      <c r="A1922" s="3" t="s">
        <v>1945</v>
      </c>
      <c r="B1922" s="3" t="s">
        <v>8</v>
      </c>
      <c r="C1922" s="3" t="s">
        <v>13</v>
      </c>
      <c r="D1922" s="3" t="str">
        <f>IFERROR(__xludf.DUMMYFUNCTION("GOOGLETRANSLATE(A1922, ""en"", ""zh-CN"")"),"阴影")</f>
        <v>阴影</v>
      </c>
    </row>
    <row r="1923" ht="15.75" customHeight="1">
      <c r="A1923" s="3" t="s">
        <v>1946</v>
      </c>
      <c r="B1923" s="3" t="s">
        <v>8</v>
      </c>
      <c r="C1923" s="3" t="s">
        <v>6</v>
      </c>
      <c r="D1923" s="3" t="str">
        <f>IFERROR(__xludf.DUMMYFUNCTION("GOOGLETRANSLATE(A1923, ""en"", ""zh-CN"")"),"歌曲")</f>
        <v>歌曲</v>
      </c>
    </row>
    <row r="1924" ht="15.75" customHeight="1">
      <c r="A1924" s="3" t="s">
        <v>1947</v>
      </c>
      <c r="B1924" s="3" t="s">
        <v>8</v>
      </c>
      <c r="C1924" s="3" t="s">
        <v>13</v>
      </c>
      <c r="D1924" s="3" t="str">
        <f>IFERROR(__xludf.DUMMYFUNCTION("GOOGLETRANSLATE(A1924, ""en"", ""zh-CN"")"),"阴影")</f>
        <v>阴影</v>
      </c>
    </row>
    <row r="1925" ht="15.75" customHeight="1">
      <c r="A1925" s="3" t="s">
        <v>1948</v>
      </c>
      <c r="B1925" s="3" t="s">
        <v>20</v>
      </c>
      <c r="C1925" s="3" t="s">
        <v>6</v>
      </c>
      <c r="D1925" s="3" t="str">
        <f>IFERROR(__xludf.DUMMYFUNCTION("GOOGLETRANSLATE(A1925, ""en"", ""zh-CN"")"),"很快")</f>
        <v>很快</v>
      </c>
    </row>
    <row r="1926" ht="15.75" customHeight="1">
      <c r="A1926" s="3" t="s">
        <v>1949</v>
      </c>
      <c r="B1926" s="3" t="s">
        <v>8</v>
      </c>
      <c r="C1926" s="3" t="s">
        <v>9</v>
      </c>
      <c r="D1926" s="3" t="str">
        <f>IFERROR(__xludf.DUMMYFUNCTION("GOOGLETRANSLATE(A1926, ""en"", ""zh-CN"")"),"支持者")</f>
        <v>支持者</v>
      </c>
    </row>
    <row r="1927" ht="15.75" customHeight="1">
      <c r="A1927" s="3" t="s">
        <v>1950</v>
      </c>
      <c r="B1927" s="3" t="s">
        <v>12</v>
      </c>
      <c r="C1927" s="3" t="s">
        <v>16</v>
      </c>
      <c r="D1927" s="3" t="str">
        <f>IFERROR(__xludf.DUMMYFUNCTION("GOOGLETRANSLATE(A1927, ""en"", ""zh-CN"")"),"认为")</f>
        <v>认为</v>
      </c>
    </row>
    <row r="1928" ht="15.75" customHeight="1">
      <c r="A1928" s="3" t="s">
        <v>1951</v>
      </c>
      <c r="B1928" s="3" t="s">
        <v>22</v>
      </c>
      <c r="C1928" s="3" t="s">
        <v>13</v>
      </c>
      <c r="D1928" s="3" t="str">
        <f>IFERROR(__xludf.DUMMYFUNCTION("GOOGLETRANSLATE(A1928, ""en"", ""zh-CN"")"),"浅的")</f>
        <v>浅的</v>
      </c>
    </row>
    <row r="1929" ht="15.75" customHeight="1">
      <c r="A1929" s="3" t="s">
        <v>1952</v>
      </c>
      <c r="B1929" s="3" t="s">
        <v>8</v>
      </c>
      <c r="C1929" s="3" t="s">
        <v>13</v>
      </c>
      <c r="D1929" s="3" t="str">
        <f>IFERROR(__xludf.DUMMYFUNCTION("GOOGLETRANSLATE(A1929, ""en"", ""zh-CN"")"),"灵魂")</f>
        <v>灵魂</v>
      </c>
    </row>
    <row r="1930" ht="15.75" customHeight="1">
      <c r="A1930" s="3" t="s">
        <v>1953</v>
      </c>
      <c r="B1930" s="3" t="s">
        <v>8</v>
      </c>
      <c r="C1930" s="3" t="s">
        <v>13</v>
      </c>
      <c r="D1930" s="3" t="str">
        <f>IFERROR(__xludf.DUMMYFUNCTION("GOOGLETRANSLATE(A1930, ""en"", ""zh-CN"")"),"耻辱")</f>
        <v>耻辱</v>
      </c>
    </row>
    <row r="1931" ht="15.75" customHeight="1">
      <c r="A1931" s="3" t="s">
        <v>1954</v>
      </c>
      <c r="B1931" s="3" t="s">
        <v>20</v>
      </c>
      <c r="C1931" s="3" t="s">
        <v>9</v>
      </c>
      <c r="D1931" s="3" t="str">
        <f>IFERROR(__xludf.DUMMYFUNCTION("GOOGLETRANSLATE(A1931, ""en"", ""zh-CN"")"),"一定")</f>
        <v>一定</v>
      </c>
    </row>
    <row r="1932" ht="15.75" customHeight="1">
      <c r="A1932" s="3" t="s">
        <v>1955</v>
      </c>
      <c r="B1932" s="3" t="s">
        <v>8</v>
      </c>
      <c r="C1932" s="3" t="s">
        <v>6</v>
      </c>
      <c r="D1932" s="3" t="str">
        <f>IFERROR(__xludf.DUMMYFUNCTION("GOOGLETRANSLATE(A1932, ""en"", ""zh-CN"")"),"汤")</f>
        <v>汤</v>
      </c>
    </row>
    <row r="1933" ht="15.75" customHeight="1">
      <c r="A1933" s="3" t="s">
        <v>1956</v>
      </c>
      <c r="B1933" s="3" t="s">
        <v>8</v>
      </c>
      <c r="C1933" s="3" t="s">
        <v>9</v>
      </c>
      <c r="D1933" s="3" t="str">
        <f>IFERROR(__xludf.DUMMYFUNCTION("GOOGLETRANSLATE(A1933, ""en"", ""zh-CN"")"),"表面")</f>
        <v>表面</v>
      </c>
    </row>
    <row r="1934" ht="15.75" customHeight="1">
      <c r="A1934" s="3" t="s">
        <v>1957</v>
      </c>
      <c r="B1934" s="3" t="s">
        <v>8</v>
      </c>
      <c r="C1934" s="3" t="s">
        <v>16</v>
      </c>
      <c r="D1934" s="3" t="str">
        <f>IFERROR(__xludf.DUMMYFUNCTION("GOOGLETRANSLATE(A1934, ""en"", ""zh-CN"")"),"来源")</f>
        <v>来源</v>
      </c>
    </row>
    <row r="1935" ht="15.75" customHeight="1">
      <c r="A1935" s="3" t="s">
        <v>1958</v>
      </c>
      <c r="B1935" s="3" t="s">
        <v>8</v>
      </c>
      <c r="C1935" s="3" t="s">
        <v>13</v>
      </c>
      <c r="D1935" s="3" t="str">
        <f>IFERROR(__xludf.DUMMYFUNCTION("GOOGLETRANSLATE(A1935, ""en"", ""zh-CN"")"),"外科手术")</f>
        <v>外科手术</v>
      </c>
    </row>
    <row r="1936" ht="15.75" customHeight="1">
      <c r="A1936" s="3" t="s">
        <v>1959</v>
      </c>
      <c r="B1936" s="3" t="s">
        <v>22</v>
      </c>
      <c r="C1936" s="3" t="s">
        <v>9</v>
      </c>
      <c r="D1936" s="3" t="str">
        <f>IFERROR(__xludf.DUMMYFUNCTION("GOOGLETRANSLATE(A1936, ""en"", ""zh-CN"")"),"锋利的")</f>
        <v>锋利的</v>
      </c>
    </row>
    <row r="1937" ht="15.75" customHeight="1">
      <c r="A1937" s="3" t="s">
        <v>1960</v>
      </c>
      <c r="B1937" s="3" t="s">
        <v>146</v>
      </c>
      <c r="C1937" s="3" t="s">
        <v>6</v>
      </c>
      <c r="D1937" s="3" t="str">
        <f>IFERROR(__xludf.DUMMYFUNCTION("GOOGLETRANSLATE(A1937, ""en"", ""zh-CN"")"),"她")</f>
        <v>她</v>
      </c>
    </row>
    <row r="1938" ht="15.75" customHeight="1">
      <c r="A1938" s="3" t="s">
        <v>1961</v>
      </c>
      <c r="B1938" s="3" t="s">
        <v>22</v>
      </c>
      <c r="C1938" s="3" t="s">
        <v>9</v>
      </c>
      <c r="D1938" s="3" t="str">
        <f>IFERROR(__xludf.DUMMYFUNCTION("GOOGLETRANSLATE(A1938, ""en"", ""zh-CN"")"),"南方")</f>
        <v>南方</v>
      </c>
    </row>
    <row r="1939" ht="15.75" customHeight="1">
      <c r="A1939" s="3" t="s">
        <v>1962</v>
      </c>
      <c r="B1939" s="3" t="s">
        <v>22</v>
      </c>
      <c r="C1939" s="3" t="s">
        <v>16</v>
      </c>
      <c r="D1939" s="3" t="str">
        <f>IFERROR(__xludf.DUMMYFUNCTION("GOOGLETRANSLATE(A1939, ""en"", ""zh-CN"")"),"惊讶")</f>
        <v>惊讶</v>
      </c>
    </row>
    <row r="1940" ht="15.75" customHeight="1">
      <c r="A1940" s="3" t="s">
        <v>1963</v>
      </c>
      <c r="B1940" s="3" t="s">
        <v>8</v>
      </c>
      <c r="C1940" s="3" t="s">
        <v>6</v>
      </c>
      <c r="D1940" s="3" t="str">
        <f>IFERROR(__xludf.DUMMYFUNCTION("GOOGLETRANSLATE(A1940, ""en"", ""zh-CN"")"),"羊")</f>
        <v>羊</v>
      </c>
    </row>
    <row r="1941" ht="15.75" customHeight="1">
      <c r="A1941" s="3" t="s">
        <v>1964</v>
      </c>
      <c r="B1941" s="3" t="s">
        <v>8</v>
      </c>
      <c r="C1941" s="3" t="s">
        <v>6</v>
      </c>
      <c r="D1941" s="3" t="str">
        <f>IFERROR(__xludf.DUMMYFUNCTION("GOOGLETRANSLATE(A1941, ""en"", ""zh-CN"")"),"空间")</f>
        <v>空间</v>
      </c>
    </row>
    <row r="1942" ht="15.75" customHeight="1">
      <c r="A1942" s="3" t="s">
        <v>1965</v>
      </c>
      <c r="B1942" s="3" t="s">
        <v>22</v>
      </c>
      <c r="C1942" s="3" t="s">
        <v>16</v>
      </c>
      <c r="D1942" s="3" t="str">
        <f>IFERROR(__xludf.DUMMYFUNCTION("GOOGLETRANSLATE(A1942, ""en"", ""zh-CN"")"),"奇怪")</f>
        <v>奇怪</v>
      </c>
    </row>
    <row r="1943" ht="15.75" customHeight="1">
      <c r="A1943" s="3" t="s">
        <v>1966</v>
      </c>
      <c r="B1943" s="3" t="s">
        <v>8</v>
      </c>
      <c r="C1943" s="3" t="s">
        <v>16</v>
      </c>
      <c r="D1943" s="3" t="str">
        <f>IFERROR(__xludf.DUMMYFUNCTION("GOOGLETRANSLATE(A1943, ""en"", ""zh-CN"")"),"床单")</f>
        <v>床单</v>
      </c>
    </row>
    <row r="1944" ht="15.75" customHeight="1">
      <c r="A1944" s="3" t="s">
        <v>1967</v>
      </c>
      <c r="B1944" s="3" t="s">
        <v>12</v>
      </c>
      <c r="C1944" s="3" t="s">
        <v>6</v>
      </c>
      <c r="D1944" s="3" t="str">
        <f>IFERROR(__xludf.DUMMYFUNCTION("GOOGLETRANSLATE(A1944, ""en"", ""zh-CN"")"),"说话")</f>
        <v>说话</v>
      </c>
    </row>
    <row r="1945" ht="15.75" customHeight="1">
      <c r="A1945" s="3" t="s">
        <v>1968</v>
      </c>
      <c r="B1945" s="3" t="s">
        <v>12</v>
      </c>
      <c r="C1945" s="3" t="s">
        <v>13</v>
      </c>
      <c r="D1945" s="3" t="str">
        <f>IFERROR(__xludf.DUMMYFUNCTION("GOOGLETRANSLATE(A1945, ""en"", ""zh-CN"")"),"环绕")</f>
        <v>环绕</v>
      </c>
    </row>
    <row r="1946" ht="15.75" customHeight="1">
      <c r="A1946" s="3" t="s">
        <v>1969</v>
      </c>
      <c r="B1946" s="3" t="s">
        <v>8</v>
      </c>
      <c r="C1946" s="3" t="s">
        <v>9</v>
      </c>
      <c r="D1946" s="3" t="str">
        <f>IFERROR(__xludf.DUMMYFUNCTION("GOOGLETRANSLATE(A1946, ""en"", ""zh-CN"")"),"架子")</f>
        <v>架子</v>
      </c>
    </row>
    <row r="1947" ht="15.75" customHeight="1">
      <c r="A1947" s="3" t="s">
        <v>1970</v>
      </c>
      <c r="B1947" s="3" t="s">
        <v>8</v>
      </c>
      <c r="C1947" s="3" t="s">
        <v>16</v>
      </c>
      <c r="D1947" s="3" t="str">
        <f>IFERROR(__xludf.DUMMYFUNCTION("GOOGLETRANSLATE(A1947, ""en"", ""zh-CN"")"),"扬声器")</f>
        <v>扬声器</v>
      </c>
    </row>
    <row r="1948" ht="15.75" customHeight="1">
      <c r="A1948" s="3" t="s">
        <v>1971</v>
      </c>
      <c r="B1948" s="3" t="s">
        <v>22</v>
      </c>
      <c r="C1948" s="3" t="s">
        <v>13</v>
      </c>
      <c r="D1948" s="3" t="str">
        <f>IFERROR(__xludf.DUMMYFUNCTION("GOOGLETRANSLATE(A1948, ""en"", ""zh-CN"")"),"周围")</f>
        <v>周围</v>
      </c>
    </row>
    <row r="1949" ht="15.75" customHeight="1">
      <c r="A1949" s="3" t="s">
        <v>1972</v>
      </c>
      <c r="B1949" s="3" t="s">
        <v>8</v>
      </c>
      <c r="C1949" s="3" t="s">
        <v>9</v>
      </c>
      <c r="D1949" s="3" t="str">
        <f>IFERROR(__xludf.DUMMYFUNCTION("GOOGLETRANSLATE(A1949, ""en"", ""zh-CN"")"),"壳")</f>
        <v>壳</v>
      </c>
    </row>
    <row r="1950" ht="15.75" customHeight="1">
      <c r="A1950" s="3" t="s">
        <v>1973</v>
      </c>
      <c r="B1950" s="3" t="s">
        <v>22</v>
      </c>
      <c r="C1950" s="3" t="s">
        <v>6</v>
      </c>
      <c r="D1950" s="3" t="str">
        <f>IFERROR(__xludf.DUMMYFUNCTION("GOOGLETRANSLATE(A1950, ""en"", ""zh-CN"")"),"特别的")</f>
        <v>特别的</v>
      </c>
    </row>
    <row r="1951" ht="15.75" customHeight="1">
      <c r="A1951" s="3" t="s">
        <v>1974</v>
      </c>
      <c r="B1951" s="3" t="s">
        <v>12</v>
      </c>
      <c r="C1951" s="3" t="s">
        <v>9</v>
      </c>
      <c r="D1951" s="3" t="str">
        <f>IFERROR(__xludf.DUMMYFUNCTION("GOOGLETRANSLATE(A1951, ""en"", ""zh-CN"")"),"存活")</f>
        <v>存活</v>
      </c>
    </row>
    <row r="1952" ht="15.75" customHeight="1">
      <c r="A1952" s="3" t="s">
        <v>1975</v>
      </c>
      <c r="B1952" s="3" t="s">
        <v>8</v>
      </c>
      <c r="C1952" s="3" t="s">
        <v>13</v>
      </c>
      <c r="D1952" s="3" t="str">
        <f>IFERROR(__xludf.DUMMYFUNCTION("GOOGLETRANSLATE(A1952, ""en"", ""zh-CN"")"),"物种")</f>
        <v>物种</v>
      </c>
    </row>
    <row r="1953" ht="15.75" customHeight="1">
      <c r="A1953" s="3" t="s">
        <v>1976</v>
      </c>
      <c r="B1953" s="3" t="s">
        <v>12</v>
      </c>
      <c r="C1953" s="3" t="s">
        <v>9</v>
      </c>
      <c r="D1953" s="3" t="str">
        <f>IFERROR(__xludf.DUMMYFUNCTION("GOOGLETRANSLATE(A1953, ""en"", ""zh-CN"")"),"闪耀")</f>
        <v>闪耀</v>
      </c>
    </row>
    <row r="1954" ht="15.75" customHeight="1">
      <c r="A1954" s="3" t="s">
        <v>1977</v>
      </c>
      <c r="B1954" s="3" t="s">
        <v>22</v>
      </c>
      <c r="C1954" s="3" t="s">
        <v>16</v>
      </c>
      <c r="D1954" s="3" t="str">
        <f>IFERROR(__xludf.DUMMYFUNCTION("GOOGLETRANSLATE(A1954, ""en"", ""zh-CN"")"),"具体的")</f>
        <v>具体的</v>
      </c>
    </row>
    <row r="1955" ht="15.75" customHeight="1">
      <c r="A1955" s="3" t="s">
        <v>1978</v>
      </c>
      <c r="B1955" s="3" t="s">
        <v>12</v>
      </c>
      <c r="C1955" s="3" t="s">
        <v>13</v>
      </c>
      <c r="D1955" s="3" t="str">
        <f>IFERROR(__xludf.DUMMYFUNCTION("GOOGLETRANSLATE(A1955, ""en"", ""zh-CN"")"),"发誓")</f>
        <v>发誓</v>
      </c>
    </row>
    <row r="1956" ht="15.75" customHeight="1">
      <c r="A1956" s="3" t="s">
        <v>1979</v>
      </c>
      <c r="B1956" s="3" t="s">
        <v>22</v>
      </c>
      <c r="C1956" s="3" t="s">
        <v>9</v>
      </c>
      <c r="D1956" s="3" t="str">
        <f>IFERROR(__xludf.DUMMYFUNCTION("GOOGLETRANSLATE(A1956, ""en"", ""zh-CN"")"),"闪亮的")</f>
        <v>闪亮的</v>
      </c>
    </row>
    <row r="1957" ht="15.75" customHeight="1">
      <c r="A1957" s="3" t="s">
        <v>1980</v>
      </c>
      <c r="B1957" s="3" t="s">
        <v>20</v>
      </c>
      <c r="C1957" s="3" t="s">
        <v>9</v>
      </c>
      <c r="D1957" s="3" t="str">
        <f>IFERROR(__xludf.DUMMYFUNCTION("GOOGLETRANSLATE(A1957, ""en"", ""zh-CN"")"),"具体来说")</f>
        <v>具体来说</v>
      </c>
    </row>
    <row r="1958" ht="15.75" customHeight="1">
      <c r="A1958" s="3" t="s">
        <v>1981</v>
      </c>
      <c r="B1958" s="3" t="s">
        <v>8</v>
      </c>
      <c r="C1958" s="3" t="s">
        <v>6</v>
      </c>
      <c r="D1958" s="3" t="str">
        <f>IFERROR(__xludf.DUMMYFUNCTION("GOOGLETRANSLATE(A1958, ""en"", ""zh-CN"")"),"毛衣")</f>
        <v>毛衣</v>
      </c>
    </row>
    <row r="1959" ht="15.75" customHeight="1">
      <c r="A1959" s="3" t="s">
        <v>1982</v>
      </c>
      <c r="B1959" s="3" t="s">
        <v>8</v>
      </c>
      <c r="C1959" s="3" t="s">
        <v>16</v>
      </c>
      <c r="D1959" s="3" t="str">
        <f>IFERROR(__xludf.DUMMYFUNCTION("GOOGLETRANSLATE(A1959, ""en"", ""zh-CN"")"),"演讲")</f>
        <v>演讲</v>
      </c>
    </row>
    <row r="1960" ht="15.75" customHeight="1">
      <c r="A1960" s="3" t="s">
        <v>1983</v>
      </c>
      <c r="B1960" s="3" t="s">
        <v>12</v>
      </c>
      <c r="C1960" s="3" t="s">
        <v>13</v>
      </c>
      <c r="D1960" s="3" t="str">
        <f>IFERROR(__xludf.DUMMYFUNCTION("GOOGLETRANSLATE(A1960, ""en"", ""zh-CN"")"),"扫")</f>
        <v>扫</v>
      </c>
    </row>
    <row r="1961" ht="15.75" customHeight="1">
      <c r="A1961" s="3" t="s">
        <v>1984</v>
      </c>
      <c r="B1961" s="3" t="s">
        <v>8</v>
      </c>
      <c r="C1961" s="3" t="s">
        <v>6</v>
      </c>
      <c r="D1961" s="3" t="str">
        <f>IFERROR(__xludf.DUMMYFUNCTION("GOOGLETRANSLATE(A1961, ""en"", ""zh-CN"")"),"衬衫")</f>
        <v>衬衫</v>
      </c>
    </row>
    <row r="1962" ht="15.75" customHeight="1">
      <c r="A1962" s="3" t="s">
        <v>1985</v>
      </c>
      <c r="B1962" s="3" t="s">
        <v>12</v>
      </c>
      <c r="C1962" s="3" t="s">
        <v>6</v>
      </c>
      <c r="D1962" s="3" t="str">
        <f>IFERROR(__xludf.DUMMYFUNCTION("GOOGLETRANSLATE(A1962, ""en"", ""zh-CN"")"),"拼写")</f>
        <v>拼写</v>
      </c>
    </row>
    <row r="1963" ht="15.75" customHeight="1">
      <c r="A1963" s="3" t="s">
        <v>1986</v>
      </c>
      <c r="B1963" s="3" t="s">
        <v>22</v>
      </c>
      <c r="C1963" s="3" t="s">
        <v>13</v>
      </c>
      <c r="D1963" s="3" t="str">
        <f>IFERROR(__xludf.DUMMYFUNCTION("GOOGLETRANSLATE(A1963, ""en"", ""zh-CN"")"),"震惊")</f>
        <v>震惊</v>
      </c>
    </row>
    <row r="1964" ht="15.75" customHeight="1">
      <c r="A1964" s="3" t="s">
        <v>1987</v>
      </c>
      <c r="B1964" s="3" t="s">
        <v>8</v>
      </c>
      <c r="C1964" s="3" t="s">
        <v>6</v>
      </c>
      <c r="D1964" s="3" t="str">
        <f>IFERROR(__xludf.DUMMYFUNCTION("GOOGLETRANSLATE(A1964, ""en"", ""zh-CN"")"),"拼写")</f>
        <v>拼写</v>
      </c>
    </row>
    <row r="1965" ht="15.75" customHeight="1">
      <c r="A1965" s="3" t="s">
        <v>1988</v>
      </c>
      <c r="B1965" s="3" t="s">
        <v>8</v>
      </c>
      <c r="C1965" s="3" t="s">
        <v>6</v>
      </c>
      <c r="D1965" s="3" t="str">
        <f>IFERROR(__xludf.DUMMYFUNCTION("GOOGLETRANSLATE(A1965, ""en"", ""zh-CN"")"),"游泳")</f>
        <v>游泳</v>
      </c>
    </row>
    <row r="1966" ht="15.75" customHeight="1">
      <c r="A1966" s="3" t="s">
        <v>1989</v>
      </c>
      <c r="B1966" s="3" t="s">
        <v>8</v>
      </c>
      <c r="C1966" s="3" t="s">
        <v>6</v>
      </c>
      <c r="D1966" s="3" t="str">
        <f>IFERROR(__xludf.DUMMYFUNCTION("GOOGLETRANSLATE(A1966, ""en"", ""zh-CN"")"),"鞋")</f>
        <v>鞋</v>
      </c>
    </row>
    <row r="1967" ht="15.75" customHeight="1">
      <c r="A1967" s="3" t="s">
        <v>1990</v>
      </c>
      <c r="B1967" s="3" t="s">
        <v>12</v>
      </c>
      <c r="C1967" s="3" t="s">
        <v>6</v>
      </c>
      <c r="D1967" s="3" t="str">
        <f>IFERROR(__xludf.DUMMYFUNCTION("GOOGLETRANSLATE(A1967, ""en"", ""zh-CN"")"),"花费")</f>
        <v>花费</v>
      </c>
    </row>
    <row r="1968" ht="15.75" customHeight="1">
      <c r="A1968" s="3" t="s">
        <v>1991</v>
      </c>
      <c r="B1968" s="3" t="s">
        <v>12</v>
      </c>
      <c r="C1968" s="3" t="s">
        <v>9</v>
      </c>
      <c r="D1968" s="3" t="str">
        <f>IFERROR(__xludf.DUMMYFUNCTION("GOOGLETRANSLATE(A1968, ""en"", ""zh-CN"")"),"射击")</f>
        <v>射击</v>
      </c>
    </row>
    <row r="1969" ht="15.75" customHeight="1">
      <c r="A1969" s="3" t="s">
        <v>1992</v>
      </c>
      <c r="B1969" s="3" t="s">
        <v>8</v>
      </c>
      <c r="C1969" s="3" t="s">
        <v>9</v>
      </c>
      <c r="D1969" s="3" t="str">
        <f>IFERROR(__xludf.DUMMYFUNCTION("GOOGLETRANSLATE(A1969, ""en"", ""zh-CN"")"),"开支")</f>
        <v>开支</v>
      </c>
    </row>
    <row r="1970" ht="15.75" customHeight="1">
      <c r="A1970" s="3" t="s">
        <v>1993</v>
      </c>
      <c r="B1970" s="3" t="s">
        <v>8</v>
      </c>
      <c r="C1970" s="3" t="s">
        <v>16</v>
      </c>
      <c r="D1970" s="3" t="str">
        <f>IFERROR(__xludf.DUMMYFUNCTION("GOOGLETRANSLATE(A1970, ""en"", ""zh-CN"")"),"象征")</f>
        <v>象征</v>
      </c>
    </row>
    <row r="1971" ht="15.75" customHeight="1">
      <c r="A1971" s="3" t="s">
        <v>1994</v>
      </c>
      <c r="B1971" s="3" t="s">
        <v>8</v>
      </c>
      <c r="C1971" s="3" t="s">
        <v>13</v>
      </c>
      <c r="D1971" s="3" t="str">
        <f>IFERROR(__xludf.DUMMYFUNCTION("GOOGLETRANSLATE(A1971, ""en"", ""zh-CN"")"),"射击")</f>
        <v>射击</v>
      </c>
    </row>
    <row r="1972" ht="15.75" customHeight="1">
      <c r="A1972" s="3" t="s">
        <v>1995</v>
      </c>
      <c r="B1972" s="3" t="s">
        <v>22</v>
      </c>
      <c r="C1972" s="3" t="s">
        <v>9</v>
      </c>
      <c r="D1972" s="3" t="str">
        <f>IFERROR(__xludf.DUMMYFUNCTION("GOOGLETRANSLATE(A1972, ""en"", ""zh-CN"")"),"辛辣的")</f>
        <v>辛辣的</v>
      </c>
    </row>
    <row r="1973" ht="15.75" customHeight="1">
      <c r="A1973" s="3" t="s">
        <v>1996</v>
      </c>
      <c r="B1973" s="3" t="s">
        <v>8</v>
      </c>
      <c r="C1973" s="3" t="s">
        <v>13</v>
      </c>
      <c r="D1973" s="3" t="str">
        <f>IFERROR(__xludf.DUMMYFUNCTION("GOOGLETRANSLATE(A1973, ""en"", ""zh-CN"")"),"同情")</f>
        <v>同情</v>
      </c>
    </row>
    <row r="1974" ht="15.75" customHeight="1">
      <c r="A1974" s="3" t="s">
        <v>1997</v>
      </c>
      <c r="B1974" s="3" t="s">
        <v>8</v>
      </c>
      <c r="C1974" s="3" t="s">
        <v>16</v>
      </c>
      <c r="D1974" s="3" t="str">
        <f>IFERROR(__xludf.DUMMYFUNCTION("GOOGLETRANSLATE(A1974, ""en"", ""zh-CN"")"),"蜘蛛")</f>
        <v>蜘蛛</v>
      </c>
    </row>
    <row r="1975" ht="15.75" customHeight="1">
      <c r="A1975" s="3" t="s">
        <v>1998</v>
      </c>
      <c r="B1975" s="3" t="s">
        <v>8</v>
      </c>
      <c r="C1975" s="3" t="s">
        <v>9</v>
      </c>
      <c r="D1975" s="3" t="str">
        <f>IFERROR(__xludf.DUMMYFUNCTION("GOOGLETRANSLATE(A1975, ""en"", ""zh-CN"")"),"症状")</f>
        <v>症状</v>
      </c>
    </row>
    <row r="1976" ht="15.75" customHeight="1">
      <c r="A1976" s="3" t="s">
        <v>1999</v>
      </c>
      <c r="B1976" s="3" t="s">
        <v>8</v>
      </c>
      <c r="C1976" s="3" t="s">
        <v>6</v>
      </c>
      <c r="D1976" s="3" t="str">
        <f>IFERROR(__xludf.DUMMYFUNCTION("GOOGLETRANSLATE(A1976, ""en"", ""zh-CN"")"),"购物")</f>
        <v>购物</v>
      </c>
    </row>
    <row r="1977" ht="15.75" customHeight="1">
      <c r="A1977" s="3" t="s">
        <v>2000</v>
      </c>
      <c r="B1977" s="3" t="s">
        <v>8</v>
      </c>
      <c r="C1977" s="3" t="s">
        <v>9</v>
      </c>
      <c r="D1977" s="3" t="str">
        <f>IFERROR(__xludf.DUMMYFUNCTION("GOOGLETRANSLATE(A1977, ""en"", ""zh-CN"")"),"精神")</f>
        <v>精神</v>
      </c>
    </row>
    <row r="1978" ht="15.75" customHeight="1">
      <c r="A1978" s="3" t="s">
        <v>2001</v>
      </c>
      <c r="B1978" s="3" t="s">
        <v>8</v>
      </c>
      <c r="C1978" s="3" t="s">
        <v>16</v>
      </c>
      <c r="D1978" s="3" t="str">
        <f>IFERROR(__xludf.DUMMYFUNCTION("GOOGLETRANSLATE(A1978, ""en"", ""zh-CN"")"),"系统")</f>
        <v>系统</v>
      </c>
    </row>
    <row r="1979" ht="15.75" customHeight="1">
      <c r="A1979" s="3" t="s">
        <v>2002</v>
      </c>
      <c r="B1979" s="3" t="s">
        <v>22</v>
      </c>
      <c r="C1979" s="3" t="s">
        <v>6</v>
      </c>
      <c r="D1979" s="3" t="str">
        <f>IFERROR(__xludf.DUMMYFUNCTION("GOOGLETRANSLATE(A1979, ""en"", ""zh-CN"")"),"短的")</f>
        <v>短的</v>
      </c>
    </row>
    <row r="1980" ht="15.75" customHeight="1">
      <c r="A1980" s="3" t="s">
        <v>2003</v>
      </c>
      <c r="B1980" s="3" t="s">
        <v>22</v>
      </c>
      <c r="C1980" s="3" t="s">
        <v>13</v>
      </c>
      <c r="D1980" s="3" t="str">
        <f>IFERROR(__xludf.DUMMYFUNCTION("GOOGLETRANSLATE(A1980, ""en"", ""zh-CN"")"),"精神")</f>
        <v>精神</v>
      </c>
    </row>
    <row r="1981" ht="15.75" customHeight="1">
      <c r="A1981" s="3" t="s">
        <v>2004</v>
      </c>
      <c r="B1981" s="3" t="s">
        <v>8</v>
      </c>
      <c r="C1981" s="3" t="s">
        <v>13</v>
      </c>
      <c r="D1981" s="3" t="str">
        <f>IFERROR(__xludf.DUMMYFUNCTION("GOOGLETRANSLATE(A1981, ""en"", ""zh-CN"")"),"射击")</f>
        <v>射击</v>
      </c>
    </row>
    <row r="1982" ht="15.75" customHeight="1">
      <c r="A1982" s="3" t="s">
        <v>2005</v>
      </c>
      <c r="B1982" s="3" t="s">
        <v>8</v>
      </c>
      <c r="C1982" s="3" t="s">
        <v>6</v>
      </c>
      <c r="D1982" s="3" t="str">
        <f>IFERROR(__xludf.DUMMYFUNCTION("GOOGLETRANSLATE(A1982, ""en"", ""zh-CN"")"),"桌子")</f>
        <v>桌子</v>
      </c>
    </row>
    <row r="1983" ht="15.75" customHeight="1">
      <c r="A1983" s="3" t="s">
        <v>2006</v>
      </c>
      <c r="B1983" s="3" t="s">
        <v>20</v>
      </c>
      <c r="C1983" s="3" t="s">
        <v>9</v>
      </c>
      <c r="D1983" s="3" t="str">
        <f>IFERROR(__xludf.DUMMYFUNCTION("GOOGLETRANSLATE(A1983, ""en"", ""zh-CN"")"),"所以")</f>
        <v>所以</v>
      </c>
    </row>
    <row r="1984" ht="15.75" customHeight="1">
      <c r="A1984" s="3" t="s">
        <v>2007</v>
      </c>
      <c r="B1984" s="3" t="s">
        <v>8</v>
      </c>
      <c r="C1984" s="3" t="s">
        <v>16</v>
      </c>
      <c r="D1984" s="3" t="str">
        <f>IFERROR(__xludf.DUMMYFUNCTION("GOOGLETRANSLATE(A1984, ""en"", ""zh-CN"")"),"旅游")</f>
        <v>旅游</v>
      </c>
    </row>
    <row r="1985" ht="15.75" customHeight="1">
      <c r="A1985" s="3" t="s">
        <v>2008</v>
      </c>
      <c r="B1985" s="3" t="s">
        <v>8</v>
      </c>
      <c r="C1985" s="3" t="s">
        <v>16</v>
      </c>
      <c r="D1985" s="3" t="str">
        <f>IFERROR(__xludf.DUMMYFUNCTION("GOOGLETRANSLATE(A1985, ""en"", ""zh-CN"")"),"药片")</f>
        <v>药片</v>
      </c>
    </row>
    <row r="1986" ht="15.75" customHeight="1">
      <c r="A1986" s="3" t="s">
        <v>2009</v>
      </c>
      <c r="B1986" s="3" t="s">
        <v>146</v>
      </c>
      <c r="C1986" s="3" t="s">
        <v>6</v>
      </c>
      <c r="D1986" s="3" t="str">
        <f>IFERROR(__xludf.DUMMYFUNCTION("GOOGLETRANSLATE(A1986, ""en"", ""zh-CN"")"),"他们")</f>
        <v>他们</v>
      </c>
    </row>
    <row r="1987" ht="15.75" customHeight="1">
      <c r="A1987" s="3" t="s">
        <v>2010</v>
      </c>
      <c r="B1987" s="3" t="s">
        <v>8</v>
      </c>
      <c r="C1987" s="3" t="s">
        <v>6</v>
      </c>
      <c r="D1987" s="3" t="str">
        <f>IFERROR(__xludf.DUMMYFUNCTION("GOOGLETRANSLATE(A1987, ""en"", ""zh-CN"")"),"游客")</f>
        <v>游客</v>
      </c>
    </row>
    <row r="1988" ht="15.75" customHeight="1">
      <c r="A1988" s="3" t="s">
        <v>2011</v>
      </c>
      <c r="B1988" s="3" t="s">
        <v>8</v>
      </c>
      <c r="C1988" s="3" t="s">
        <v>9</v>
      </c>
      <c r="D1988" s="3" t="str">
        <f>IFERROR(__xludf.DUMMYFUNCTION("GOOGLETRANSLATE(A1988, ""en"", ""zh-CN"")"),"尾巴")</f>
        <v>尾巴</v>
      </c>
    </row>
    <row r="1989" ht="15.75" customHeight="1">
      <c r="A1989" s="3" t="s">
        <v>2012</v>
      </c>
      <c r="B1989" s="3" t="s">
        <v>22</v>
      </c>
      <c r="C1989" s="3" t="s">
        <v>16</v>
      </c>
      <c r="D1989" s="3" t="str">
        <f>IFERROR(__xludf.DUMMYFUNCTION("GOOGLETRANSLATE(A1989, ""en"", ""zh-CN"")"),"厚的")</f>
        <v>厚的</v>
      </c>
    </row>
    <row r="1990" ht="15.75" customHeight="1">
      <c r="A1990" s="3" t="s">
        <v>2013</v>
      </c>
      <c r="B1990" s="3" t="s">
        <v>88</v>
      </c>
      <c r="C1990" s="3" t="s">
        <v>16</v>
      </c>
      <c r="D1990" s="3" t="str">
        <f>IFERROR(__xludf.DUMMYFUNCTION("GOOGLETRANSLATE(A1990, ""en"", ""zh-CN"")"),"向")</f>
        <v>向</v>
      </c>
    </row>
    <row r="1991" ht="15.75" customHeight="1">
      <c r="A1991" s="3" t="s">
        <v>2014</v>
      </c>
      <c r="B1991" s="3" t="s">
        <v>12</v>
      </c>
      <c r="C1991" s="3" t="s">
        <v>6</v>
      </c>
      <c r="D1991" s="3" t="str">
        <f>IFERROR(__xludf.DUMMYFUNCTION("GOOGLETRANSLATE(A1991, ""en"", ""zh-CN"")"),"拿")</f>
        <v>拿</v>
      </c>
    </row>
    <row r="1992" ht="15.75" customHeight="1">
      <c r="A1992" s="3" t="s">
        <v>2015</v>
      </c>
      <c r="B1992" s="3" t="s">
        <v>8</v>
      </c>
      <c r="C1992" s="3" t="s">
        <v>16</v>
      </c>
      <c r="D1992" s="3" t="str">
        <f>IFERROR(__xludf.DUMMYFUNCTION("GOOGLETRANSLATE(A1992, ""en"", ""zh-CN"")"),"贼")</f>
        <v>贼</v>
      </c>
    </row>
    <row r="1993" ht="15.75" customHeight="1">
      <c r="A1993" s="3" t="s">
        <v>2016</v>
      </c>
      <c r="B1993" s="3" t="s">
        <v>8</v>
      </c>
      <c r="C1993" s="3" t="s">
        <v>16</v>
      </c>
      <c r="D1993" s="3" t="str">
        <f>IFERROR(__xludf.DUMMYFUNCTION("GOOGLETRANSLATE(A1993, ""en"", ""zh-CN"")"),"毛巾")</f>
        <v>毛巾</v>
      </c>
    </row>
    <row r="1994" ht="15.75" customHeight="1">
      <c r="A1994" s="3" t="s">
        <v>2017</v>
      </c>
      <c r="B1994" s="3" t="s">
        <v>8</v>
      </c>
      <c r="C1994" s="3" t="s">
        <v>13</v>
      </c>
      <c r="D1994" s="3" t="str">
        <f>IFERROR(__xludf.DUMMYFUNCTION("GOOGLETRANSLATE(A1994, ""en"", ""zh-CN"")"),"故事")</f>
        <v>故事</v>
      </c>
    </row>
    <row r="1995" ht="15.75" customHeight="1">
      <c r="A1995" s="3" t="s">
        <v>2018</v>
      </c>
      <c r="B1995" s="3" t="s">
        <v>22</v>
      </c>
      <c r="C1995" s="3" t="s">
        <v>16</v>
      </c>
      <c r="D1995" s="3" t="str">
        <f>IFERROR(__xludf.DUMMYFUNCTION("GOOGLETRANSLATE(A1995, ""en"", ""zh-CN"")"),"薄的")</f>
        <v>薄的</v>
      </c>
    </row>
    <row r="1996" ht="15.75" customHeight="1">
      <c r="A1996" s="3" t="s">
        <v>2019</v>
      </c>
      <c r="B1996" s="3" t="s">
        <v>8</v>
      </c>
      <c r="C1996" s="3" t="s">
        <v>16</v>
      </c>
      <c r="D1996" s="3" t="str">
        <f>IFERROR(__xludf.DUMMYFUNCTION("GOOGLETRANSLATE(A1996, ""en"", ""zh-CN"")"),"塔")</f>
        <v>塔</v>
      </c>
    </row>
    <row r="1997" ht="15.75" customHeight="1">
      <c r="A1997" s="3" t="s">
        <v>2020</v>
      </c>
      <c r="B1997" s="3" t="s">
        <v>8</v>
      </c>
      <c r="C1997" s="3" t="s">
        <v>9</v>
      </c>
      <c r="D1997" s="3" t="str">
        <f>IFERROR(__xludf.DUMMYFUNCTION("GOOGLETRANSLATE(A1997, ""en"", ""zh-CN"")"),"天赋")</f>
        <v>天赋</v>
      </c>
    </row>
    <row r="1998" ht="15.75" customHeight="1">
      <c r="A1998" s="3" t="s">
        <v>2021</v>
      </c>
      <c r="B1998" s="3" t="s">
        <v>8</v>
      </c>
      <c r="C1998" s="3" t="s">
        <v>6</v>
      </c>
      <c r="D1998" s="3" t="str">
        <f>IFERROR(__xludf.DUMMYFUNCTION("GOOGLETRANSLATE(A1998, ""en"", ""zh-CN"")"),"事物")</f>
        <v>事物</v>
      </c>
    </row>
    <row r="1999" ht="15.75" customHeight="1">
      <c r="A1999" s="3" t="s">
        <v>2022</v>
      </c>
      <c r="B1999" s="3" t="s">
        <v>8</v>
      </c>
      <c r="C1999" s="3" t="s">
        <v>6</v>
      </c>
      <c r="D1999" s="3" t="str">
        <f>IFERROR(__xludf.DUMMYFUNCTION("GOOGLETRANSLATE(A1999, ""en"", ""zh-CN"")"),"镇")</f>
        <v>镇</v>
      </c>
    </row>
    <row r="2000" ht="15.75" customHeight="1">
      <c r="A2000" s="3" t="s">
        <v>2023</v>
      </c>
      <c r="B2000" s="3" t="s">
        <v>22</v>
      </c>
      <c r="C2000" s="3" t="s">
        <v>9</v>
      </c>
      <c r="D2000" s="3" t="str">
        <f>IFERROR(__xludf.DUMMYFUNCTION("GOOGLETRANSLATE(A2000, ""en"", ""zh-CN"")"),"才华横溢")</f>
        <v>才华横溢</v>
      </c>
    </row>
    <row r="2001" ht="15.75" customHeight="1">
      <c r="A2001" s="3" t="s">
        <v>2024</v>
      </c>
      <c r="B2001" s="3" t="s">
        <v>12</v>
      </c>
      <c r="C2001" s="3" t="s">
        <v>6</v>
      </c>
      <c r="D2001" s="3" t="str">
        <f>IFERROR(__xludf.DUMMYFUNCTION("GOOGLETRANSLATE(A2001, ""en"", ""zh-CN"")"),"思考")</f>
        <v>思考</v>
      </c>
    </row>
    <row r="2002" ht="15.75" customHeight="1">
      <c r="A2002" s="3" t="s">
        <v>2025</v>
      </c>
      <c r="B2002" s="3" t="s">
        <v>8</v>
      </c>
      <c r="C2002" s="3" t="s">
        <v>16</v>
      </c>
      <c r="D2002" s="3" t="str">
        <f>IFERROR(__xludf.DUMMYFUNCTION("GOOGLETRANSLATE(A2002, ""en"", ""zh-CN"")"),"思维")</f>
        <v>思维</v>
      </c>
    </row>
    <row r="2003" ht="15.75" customHeight="1">
      <c r="A2003" s="3" t="s">
        <v>2026</v>
      </c>
      <c r="B2003" s="3" t="s">
        <v>22</v>
      </c>
      <c r="C2003" s="3" t="s">
        <v>6</v>
      </c>
      <c r="D2003" s="3" t="str">
        <f>IFERROR(__xludf.DUMMYFUNCTION("GOOGLETRANSLATE(A2003, ""en"", ""zh-CN"")"),"高的")</f>
        <v>高的</v>
      </c>
    </row>
    <row r="2004" ht="15.75" customHeight="1">
      <c r="A2004" s="3" t="s">
        <v>2027</v>
      </c>
      <c r="B2004" s="3" t="s">
        <v>8</v>
      </c>
      <c r="C2004" s="3" t="s">
        <v>13</v>
      </c>
      <c r="D2004" s="3" t="str">
        <f>IFERROR(__xludf.DUMMYFUNCTION("GOOGLETRANSLATE(A2004, ""en"", ""zh-CN"")"),"坦克")</f>
        <v>坦克</v>
      </c>
    </row>
    <row r="2005" ht="15.75" customHeight="1">
      <c r="A2005" s="3" t="s">
        <v>2028</v>
      </c>
      <c r="B2005" s="3" t="s">
        <v>22</v>
      </c>
      <c r="C2005" s="3" t="s">
        <v>6</v>
      </c>
      <c r="D2005" s="3" t="str">
        <f>IFERROR(__xludf.DUMMYFUNCTION("GOOGLETRANSLATE(A2005, ""en"", ""zh-CN"")"),"渴")</f>
        <v>渴</v>
      </c>
    </row>
    <row r="2006" ht="15.75" customHeight="1">
      <c r="A2006" s="3" t="s">
        <v>2029</v>
      </c>
      <c r="B2006" s="3" t="s">
        <v>8</v>
      </c>
      <c r="C2006" s="3" t="s">
        <v>16</v>
      </c>
      <c r="D2006" s="3" t="str">
        <f>IFERROR(__xludf.DUMMYFUNCTION("GOOGLETRANSLATE(A2006, ""en"", ""zh-CN"")"),"传统")</f>
        <v>传统</v>
      </c>
    </row>
    <row r="2007" ht="15.75" customHeight="1">
      <c r="A2007" s="3" t="s">
        <v>2030</v>
      </c>
      <c r="B2007" s="3" t="s">
        <v>8</v>
      </c>
      <c r="C2007" s="3" t="s">
        <v>9</v>
      </c>
      <c r="D2007" s="3" t="str">
        <f>IFERROR(__xludf.DUMMYFUNCTION("GOOGLETRANSLATE(A2007, ""en"", ""zh-CN"")"),"磁带")</f>
        <v>磁带</v>
      </c>
    </row>
    <row r="2008" ht="15.75" customHeight="1">
      <c r="A2008" s="3" t="s">
        <v>2031</v>
      </c>
      <c r="B2008" s="3" t="s">
        <v>227</v>
      </c>
      <c r="C2008" s="3" t="s">
        <v>6</v>
      </c>
      <c r="D2008" s="3" t="str">
        <f>IFERROR(__xludf.DUMMYFUNCTION("GOOGLETRANSLATE(A2008, ""en"", ""zh-CN"")"),"十三")</f>
        <v>十三</v>
      </c>
    </row>
    <row r="2009" ht="15.75" customHeight="1">
      <c r="A2009" s="3" t="s">
        <v>2032</v>
      </c>
      <c r="B2009" s="3" t="s">
        <v>22</v>
      </c>
      <c r="C2009" s="3" t="s">
        <v>16</v>
      </c>
      <c r="D2009" s="3" t="str">
        <f>IFERROR(__xludf.DUMMYFUNCTION("GOOGLETRANSLATE(A2009, ""en"", ""zh-CN"")"),"传统的")</f>
        <v>传统的</v>
      </c>
    </row>
    <row r="2010" ht="15.75" customHeight="1">
      <c r="A2010" s="3" t="s">
        <v>2033</v>
      </c>
      <c r="B2010" s="3" t="s">
        <v>227</v>
      </c>
      <c r="C2010" s="3" t="s">
        <v>6</v>
      </c>
      <c r="D2010" s="3" t="str">
        <f>IFERROR(__xludf.DUMMYFUNCTION("GOOGLETRANSLATE(A2010, ""en"", ""zh-CN"")"),"三十")</f>
        <v>三十</v>
      </c>
    </row>
    <row r="2011" ht="15.75" customHeight="1">
      <c r="A2011" s="3" t="s">
        <v>2034</v>
      </c>
      <c r="B2011" s="3" t="s">
        <v>8</v>
      </c>
      <c r="C2011" s="3" t="s">
        <v>6</v>
      </c>
      <c r="D2011" s="3" t="str">
        <f>IFERROR(__xludf.DUMMYFUNCTION("GOOGLETRANSLATE(A2011, ""en"", ""zh-CN"")"),"交通")</f>
        <v>交通</v>
      </c>
    </row>
    <row r="2012" ht="15.75" customHeight="1">
      <c r="A2012" s="3" t="s">
        <v>2035</v>
      </c>
      <c r="B2012" s="3" t="s">
        <v>8</v>
      </c>
      <c r="C2012" s="3" t="s">
        <v>16</v>
      </c>
      <c r="D2012" s="3" t="str">
        <f>IFERROR(__xludf.DUMMYFUNCTION("GOOGLETRANSLATE(A2012, ""en"", ""zh-CN"")"),"任务")</f>
        <v>任务</v>
      </c>
    </row>
    <row r="2013" ht="15.75" customHeight="1">
      <c r="A2013" s="3" t="s">
        <v>2036</v>
      </c>
      <c r="B2013" s="3" t="s">
        <v>8</v>
      </c>
      <c r="C2013" s="3" t="s">
        <v>16</v>
      </c>
      <c r="D2013" s="3" t="str">
        <f>IFERROR(__xludf.DUMMYFUNCTION("GOOGLETRANSLATE(A2013, ""en"", ""zh-CN"")"),"教练")</f>
        <v>教练</v>
      </c>
    </row>
    <row r="2014" ht="15.75" customHeight="1">
      <c r="A2014" s="3" t="s">
        <v>2037</v>
      </c>
      <c r="B2014" s="3" t="s">
        <v>8</v>
      </c>
      <c r="C2014" s="3" t="s">
        <v>16</v>
      </c>
      <c r="D2014" s="3" t="str">
        <f>IFERROR(__xludf.DUMMYFUNCTION("GOOGLETRANSLATE(A2014, ""en"", ""zh-CN"")"),"想法")</f>
        <v>想法</v>
      </c>
    </row>
    <row r="2015" ht="15.75" customHeight="1">
      <c r="A2015" s="3" t="s">
        <v>2038</v>
      </c>
      <c r="B2015" s="3" t="s">
        <v>8</v>
      </c>
      <c r="C2015" s="3" t="s">
        <v>16</v>
      </c>
      <c r="D2015" s="3" t="str">
        <f>IFERROR(__xludf.DUMMYFUNCTION("GOOGLETRANSLATE(A2015, ""en"", ""zh-CN"")"),"训练")</f>
        <v>训练</v>
      </c>
    </row>
    <row r="2016" ht="15.75" customHeight="1">
      <c r="A2016" s="3" t="s">
        <v>2039</v>
      </c>
      <c r="B2016" s="3" t="s">
        <v>8</v>
      </c>
      <c r="C2016" s="3" t="s">
        <v>6</v>
      </c>
      <c r="D2016" s="3" t="str">
        <f>IFERROR(__xludf.DUMMYFUNCTION("GOOGLETRANSLATE(A2016, ""en"", ""zh-CN"")"),"出租车")</f>
        <v>出租车</v>
      </c>
    </row>
    <row r="2017" ht="15.75" customHeight="1">
      <c r="A2017" s="3" t="s">
        <v>2040</v>
      </c>
      <c r="B2017" s="3" t="s">
        <v>227</v>
      </c>
      <c r="C2017" s="3" t="s">
        <v>6</v>
      </c>
      <c r="D2017" s="3" t="str">
        <f>IFERROR(__xludf.DUMMYFUNCTION("GOOGLETRANSLATE(A2017, ""en"", ""zh-CN"")"),"千")</f>
        <v>千</v>
      </c>
    </row>
    <row r="2018" ht="15.75" customHeight="1">
      <c r="A2018" s="3" t="s">
        <v>2041</v>
      </c>
      <c r="B2018" s="3" t="s">
        <v>8</v>
      </c>
      <c r="C2018" s="3" t="s">
        <v>6</v>
      </c>
      <c r="D2018" s="3" t="str">
        <f>IFERROR(__xludf.DUMMYFUNCTION("GOOGLETRANSLATE(A2018, ""en"", ""zh-CN"")"),"茶")</f>
        <v>茶</v>
      </c>
    </row>
    <row r="2019" ht="15.75" customHeight="1">
      <c r="A2019" s="3" t="s">
        <v>2042</v>
      </c>
      <c r="B2019" s="3" t="s">
        <v>8</v>
      </c>
      <c r="C2019" s="3" t="s">
        <v>13</v>
      </c>
      <c r="D2019" s="3" t="str">
        <f>IFERROR(__xludf.DUMMYFUNCTION("GOOGLETRANSLATE(A2019, ""en"", ""zh-CN"")"),"威胁")</f>
        <v>威胁</v>
      </c>
    </row>
    <row r="2020" ht="15.75" customHeight="1">
      <c r="A2020" s="3" t="s">
        <v>2043</v>
      </c>
      <c r="B2020" s="3" t="s">
        <v>12</v>
      </c>
      <c r="C2020" s="3" t="s">
        <v>13</v>
      </c>
      <c r="D2020" s="3" t="str">
        <f>IFERROR(__xludf.DUMMYFUNCTION("GOOGLETRANSLATE(A2020, ""en"", ""zh-CN"")"),"转换")</f>
        <v>转换</v>
      </c>
    </row>
    <row r="2021" ht="15.75" customHeight="1">
      <c r="A2021" s="3" t="s">
        <v>2044</v>
      </c>
      <c r="B2021" s="3" t="s">
        <v>12</v>
      </c>
      <c r="C2021" s="3" t="s">
        <v>6</v>
      </c>
      <c r="D2021" s="3" t="str">
        <f>IFERROR(__xludf.DUMMYFUNCTION("GOOGLETRANSLATE(A2021, ""en"", ""zh-CN"")"),"教")</f>
        <v>教</v>
      </c>
    </row>
    <row r="2022" ht="15.75" customHeight="1">
      <c r="A2022" s="3" t="s">
        <v>2045</v>
      </c>
      <c r="B2022" s="3" t="s">
        <v>12</v>
      </c>
      <c r="C2022" s="3" t="s">
        <v>13</v>
      </c>
      <c r="D2022" s="3" t="str">
        <f>IFERROR(__xludf.DUMMYFUNCTION("GOOGLETRANSLATE(A2022, ""en"", ""zh-CN"")"),"威胁")</f>
        <v>威胁</v>
      </c>
    </row>
    <row r="2023" ht="15.75" customHeight="1">
      <c r="A2023" s="3" t="s">
        <v>2046</v>
      </c>
      <c r="B2023" s="3" t="s">
        <v>8</v>
      </c>
      <c r="C2023" s="3" t="s">
        <v>13</v>
      </c>
      <c r="D2023" s="3" t="str">
        <f>IFERROR(__xludf.DUMMYFUNCTION("GOOGLETRANSLATE(A2023, ""en"", ""zh-CN"")"),"过渡")</f>
        <v>过渡</v>
      </c>
    </row>
    <row r="2024" ht="15.75" customHeight="1">
      <c r="A2024" s="3" t="s">
        <v>2047</v>
      </c>
      <c r="B2024" s="3" t="s">
        <v>8</v>
      </c>
      <c r="C2024" s="3" t="s">
        <v>6</v>
      </c>
      <c r="D2024" s="3" t="str">
        <f>IFERROR(__xludf.DUMMYFUNCTION("GOOGLETRANSLATE(A2024, ""en"", ""zh-CN"")"),"老师")</f>
        <v>老师</v>
      </c>
    </row>
    <row r="2025" ht="15.75" customHeight="1">
      <c r="A2025" s="3" t="s">
        <v>2048</v>
      </c>
      <c r="B2025" s="3" t="s">
        <v>227</v>
      </c>
      <c r="C2025" s="3" t="s">
        <v>6</v>
      </c>
      <c r="D2025" s="3" t="str">
        <f>IFERROR(__xludf.DUMMYFUNCTION("GOOGLETRANSLATE(A2025, ""en"", ""zh-CN"")"),"三")</f>
        <v>三</v>
      </c>
    </row>
    <row r="2026" ht="15.75" customHeight="1">
      <c r="A2026" s="3" t="s">
        <v>2049</v>
      </c>
      <c r="B2026" s="3" t="s">
        <v>12</v>
      </c>
      <c r="C2026" s="3" t="s">
        <v>9</v>
      </c>
      <c r="D2026" s="3" t="str">
        <f>IFERROR(__xludf.DUMMYFUNCTION("GOOGLETRANSLATE(A2026, ""en"", ""zh-CN"")"),"翻译")</f>
        <v>翻译</v>
      </c>
    </row>
    <row r="2027" ht="15.75" customHeight="1">
      <c r="A2027" s="3" t="s">
        <v>2050</v>
      </c>
      <c r="B2027" s="3" t="s">
        <v>8</v>
      </c>
      <c r="C2027" s="3" t="s">
        <v>16</v>
      </c>
      <c r="D2027" s="3" t="str">
        <f>IFERROR(__xludf.DUMMYFUNCTION("GOOGLETRANSLATE(A2027, ""en"", ""zh-CN"")"),"教学")</f>
        <v>教学</v>
      </c>
    </row>
    <row r="2028" ht="15.75" customHeight="1">
      <c r="A2028" s="3" t="s">
        <v>2051</v>
      </c>
      <c r="B2028" s="3" t="s">
        <v>8</v>
      </c>
      <c r="C2028" s="3" t="s">
        <v>9</v>
      </c>
      <c r="D2028" s="3" t="str">
        <f>IFERROR(__xludf.DUMMYFUNCTION("GOOGLETRANSLATE(A2028, ""en"", ""zh-CN"")"),"喉")</f>
        <v>喉</v>
      </c>
    </row>
    <row r="2029" ht="15.75" customHeight="1">
      <c r="A2029" s="3" t="s">
        <v>2052</v>
      </c>
      <c r="B2029" s="3" t="s">
        <v>8</v>
      </c>
      <c r="C2029" s="3" t="s">
        <v>9</v>
      </c>
      <c r="D2029" s="3" t="str">
        <f>IFERROR(__xludf.DUMMYFUNCTION("GOOGLETRANSLATE(A2029, ""en"", ""zh-CN"")"),"翻译")</f>
        <v>翻译</v>
      </c>
    </row>
    <row r="2030" ht="15.75" customHeight="1">
      <c r="A2030" s="3" t="s">
        <v>2053</v>
      </c>
      <c r="B2030" s="3" t="s">
        <v>8</v>
      </c>
      <c r="C2030" s="3" t="s">
        <v>6</v>
      </c>
      <c r="D2030" s="3" t="str">
        <f>IFERROR(__xludf.DUMMYFUNCTION("GOOGLETRANSLATE(A2030, ""en"", ""zh-CN"")"),"团队")</f>
        <v>团队</v>
      </c>
    </row>
    <row r="2031" ht="15.75" customHeight="1">
      <c r="A2031" s="3" t="s">
        <v>2054</v>
      </c>
      <c r="B2031" s="3" t="s">
        <v>2055</v>
      </c>
      <c r="C2031" s="3" t="s">
        <v>9</v>
      </c>
      <c r="D2031" s="3" t="str">
        <f>IFERROR(__xludf.DUMMYFUNCTION("GOOGLETRANSLATE(A2031, ""en"", ""zh-CN"")"),"自始至终")</f>
        <v>自始至终</v>
      </c>
    </row>
    <row r="2032" ht="15.75" customHeight="1">
      <c r="A2032" s="3" t="s">
        <v>2056</v>
      </c>
      <c r="B2032" s="3" t="s">
        <v>8</v>
      </c>
      <c r="C2032" s="3" t="s">
        <v>13</v>
      </c>
      <c r="D2032" s="3" t="str">
        <f>IFERROR(__xludf.DUMMYFUNCTION("GOOGLETRANSLATE(A2032, ""en"", ""zh-CN"")"),"撕裂2")</f>
        <v>撕裂2</v>
      </c>
    </row>
    <row r="2033" ht="15.75" customHeight="1">
      <c r="A2033" s="3" t="s">
        <v>2057</v>
      </c>
      <c r="B2033" s="3" t="s">
        <v>12</v>
      </c>
      <c r="C2033" s="3" t="s">
        <v>16</v>
      </c>
      <c r="D2033" s="3" t="str">
        <f>IFERROR(__xludf.DUMMYFUNCTION("GOOGLETRANSLATE(A2033, ""en"", ""zh-CN"")"),"扔")</f>
        <v>扔</v>
      </c>
    </row>
    <row r="2034" ht="15.75" customHeight="1">
      <c r="A2034" s="3" t="s">
        <v>2058</v>
      </c>
      <c r="B2034" s="3" t="s">
        <v>8</v>
      </c>
      <c r="C2034" s="3" t="s">
        <v>16</v>
      </c>
      <c r="D2034" s="3" t="str">
        <f>IFERROR(__xludf.DUMMYFUNCTION("GOOGLETRANSLATE(A2034, ""en"", ""zh-CN"")"),"游客")</f>
        <v>游客</v>
      </c>
    </row>
    <row r="2035" ht="15.75" customHeight="1">
      <c r="A2035" s="3" t="s">
        <v>2059</v>
      </c>
      <c r="B2035" s="3" t="s">
        <v>22</v>
      </c>
      <c r="C2035" s="3" t="s">
        <v>9</v>
      </c>
      <c r="D2035" s="3" t="str">
        <f>IFERROR(__xludf.DUMMYFUNCTION("GOOGLETRANSLATE(A2035, ""en"", ""zh-CN"")"),"技术的")</f>
        <v>技术的</v>
      </c>
    </row>
    <row r="2036" ht="15.75" customHeight="1">
      <c r="A2036" s="3" t="s">
        <v>2060</v>
      </c>
      <c r="B2036" s="3" t="s">
        <v>8</v>
      </c>
      <c r="C2036" s="3" t="s">
        <v>6</v>
      </c>
      <c r="D2036" s="3" t="str">
        <f>IFERROR(__xludf.DUMMYFUNCTION("GOOGLETRANSLATE(A2036, ""en"", ""zh-CN"")"),"周四")</f>
        <v>周四</v>
      </c>
    </row>
    <row r="2037" ht="15.75" customHeight="1">
      <c r="A2037" s="3" t="s">
        <v>2061</v>
      </c>
      <c r="B2037" s="3" t="s">
        <v>12</v>
      </c>
      <c r="C2037" s="3" t="s">
        <v>9</v>
      </c>
      <c r="D2037" s="3" t="str">
        <f>IFERROR(__xludf.DUMMYFUNCTION("GOOGLETRANSLATE(A2037, ""en"", ""zh-CN"")"),"对待")</f>
        <v>对待</v>
      </c>
    </row>
    <row r="2038" ht="15.75" customHeight="1">
      <c r="A2038" s="3" t="s">
        <v>2062</v>
      </c>
      <c r="B2038" s="3" t="s">
        <v>8</v>
      </c>
      <c r="C2038" s="3" t="s">
        <v>9</v>
      </c>
      <c r="D2038" s="3" t="str">
        <f>IFERROR(__xludf.DUMMYFUNCTION("GOOGLETRANSLATE(A2038, ""en"", ""zh-CN"")"),"技术")</f>
        <v>技术</v>
      </c>
    </row>
    <row r="2039" ht="15.75" customHeight="1">
      <c r="A2039" s="3" t="s">
        <v>2063</v>
      </c>
      <c r="B2039" s="3" t="s">
        <v>20</v>
      </c>
      <c r="C2039" s="3" t="s">
        <v>13</v>
      </c>
      <c r="D2039" s="3" t="str">
        <f>IFERROR(__xludf.DUMMYFUNCTION("GOOGLETRANSLATE(A2039, ""en"", ""zh-CN"")"),"因此")</f>
        <v>因此</v>
      </c>
    </row>
    <row r="2040" ht="15.75" customHeight="1">
      <c r="A2040" s="3" t="s">
        <v>2064</v>
      </c>
      <c r="B2040" s="3" t="s">
        <v>8</v>
      </c>
      <c r="C2040" s="3" t="s">
        <v>9</v>
      </c>
      <c r="D2040" s="3" t="str">
        <f>IFERROR(__xludf.DUMMYFUNCTION("GOOGLETRANSLATE(A2040, ""en"", ""zh-CN"")"),"治疗")</f>
        <v>治疗</v>
      </c>
    </row>
    <row r="2041" ht="15.75" customHeight="1">
      <c r="A2041" s="3" t="s">
        <v>2065</v>
      </c>
      <c r="B2041" s="3" t="s">
        <v>8</v>
      </c>
      <c r="C2041" s="3" t="s">
        <v>16</v>
      </c>
      <c r="D2041" s="3" t="str">
        <f>IFERROR(__xludf.DUMMYFUNCTION("GOOGLETRANSLATE(A2041, ""en"", ""zh-CN"")"),"技术")</f>
        <v>技术</v>
      </c>
    </row>
    <row r="2042" ht="15.75" customHeight="1">
      <c r="A2042" s="3" t="s">
        <v>2066</v>
      </c>
      <c r="B2042" s="3" t="s">
        <v>8</v>
      </c>
      <c r="C2042" s="3" t="s">
        <v>6</v>
      </c>
      <c r="D2042" s="3" t="str">
        <f>IFERROR(__xludf.DUMMYFUNCTION("GOOGLETRANSLATE(A2042, ""en"", ""zh-CN"")"),"票")</f>
        <v>票</v>
      </c>
    </row>
    <row r="2043" ht="15.75" customHeight="1">
      <c r="A2043" s="3" t="s">
        <v>2067</v>
      </c>
      <c r="B2043" s="3" t="s">
        <v>8</v>
      </c>
      <c r="C2043" s="3" t="s">
        <v>6</v>
      </c>
      <c r="D2043" s="3" t="str">
        <f>IFERROR(__xludf.DUMMYFUNCTION("GOOGLETRANSLATE(A2043, ""en"", ""zh-CN"")"),"树")</f>
        <v>树</v>
      </c>
    </row>
    <row r="2044" ht="15.75" customHeight="1">
      <c r="A2044" s="3" t="s">
        <v>2068</v>
      </c>
      <c r="B2044" s="3" t="s">
        <v>22</v>
      </c>
      <c r="C2044" s="3" t="s">
        <v>16</v>
      </c>
      <c r="D2044" s="3" t="str">
        <f>IFERROR(__xludf.DUMMYFUNCTION("GOOGLETRANSLATE(A2044, ""en"", ""zh-CN"")"),"青少年")</f>
        <v>青少年</v>
      </c>
    </row>
    <row r="2045" ht="15.75" customHeight="1">
      <c r="A2045" s="3" t="s">
        <v>2069</v>
      </c>
      <c r="B2045" s="3" t="s">
        <v>8</v>
      </c>
      <c r="C2045" s="3" t="s">
        <v>9</v>
      </c>
      <c r="D2045" s="3" t="str">
        <f>IFERROR(__xludf.DUMMYFUNCTION("GOOGLETRANSLATE(A2045, ""en"", ""zh-CN"")"),"趋势")</f>
        <v>趋势</v>
      </c>
    </row>
    <row r="2046" ht="15.75" customHeight="1">
      <c r="A2046" s="3" t="s">
        <v>2070</v>
      </c>
      <c r="B2046" s="3" t="s">
        <v>8</v>
      </c>
      <c r="C2046" s="3" t="s">
        <v>6</v>
      </c>
      <c r="D2046" s="3" t="str">
        <f>IFERROR(__xludf.DUMMYFUNCTION("GOOGLETRANSLATE(A2046, ""en"", ""zh-CN"")"),"青少年")</f>
        <v>青少年</v>
      </c>
    </row>
    <row r="2047" ht="15.75" customHeight="1">
      <c r="A2047" s="3" t="s">
        <v>2071</v>
      </c>
      <c r="B2047" s="3" t="s">
        <v>8</v>
      </c>
      <c r="C2047" s="3" t="s">
        <v>13</v>
      </c>
      <c r="D2047" s="3" t="str">
        <f>IFERROR(__xludf.DUMMYFUNCTION("GOOGLETRANSLATE(A2047, ""en"", ""zh-CN"")"),"审判")</f>
        <v>审判</v>
      </c>
    </row>
    <row r="2048" ht="15.75" customHeight="1">
      <c r="A2048" s="3" t="s">
        <v>2072</v>
      </c>
      <c r="B2048" s="3" t="s">
        <v>22</v>
      </c>
      <c r="C2048" s="3" t="s">
        <v>9</v>
      </c>
      <c r="D2048" s="3" t="str">
        <f>IFERROR(__xludf.DUMMYFUNCTION("GOOGLETRANSLATE(A2048, ""en"", ""zh-CN"")"),"紧的")</f>
        <v>紧的</v>
      </c>
    </row>
    <row r="2049" ht="15.75" customHeight="1">
      <c r="A2049" s="3" t="s">
        <v>2073</v>
      </c>
      <c r="B2049" s="3" t="s">
        <v>8</v>
      </c>
      <c r="C2049" s="3" t="s">
        <v>6</v>
      </c>
      <c r="D2049" s="3" t="str">
        <f>IFERROR(__xludf.DUMMYFUNCTION("GOOGLETRANSLATE(A2049, ""en"", ""zh-CN"")"),"电视")</f>
        <v>电视</v>
      </c>
    </row>
    <row r="2050" ht="15.75" customHeight="1">
      <c r="A2050" s="3" t="s">
        <v>2074</v>
      </c>
      <c r="B2050" s="3" t="s">
        <v>2075</v>
      </c>
      <c r="C2050" s="3" t="s">
        <v>9</v>
      </c>
      <c r="D2050" s="3" t="str">
        <f>IFERROR(__xludf.DUMMYFUNCTION("GOOGLETRANSLATE(A2050, ""en"", ""zh-CN"")"),"直到")</f>
        <v>直到</v>
      </c>
    </row>
    <row r="2051" ht="15.75" customHeight="1">
      <c r="A2051" s="3" t="s">
        <v>2076</v>
      </c>
      <c r="B2051" s="3" t="s">
        <v>12</v>
      </c>
      <c r="C2051" s="3" t="s">
        <v>6</v>
      </c>
      <c r="D2051" s="3" t="str">
        <f>IFERROR(__xludf.DUMMYFUNCTION("GOOGLETRANSLATE(A2051, ""en"", ""zh-CN"")"),"告诉")</f>
        <v>告诉</v>
      </c>
    </row>
    <row r="2052" ht="15.75" customHeight="1">
      <c r="A2052" s="3" t="s">
        <v>2077</v>
      </c>
      <c r="B2052" s="3" t="s">
        <v>22</v>
      </c>
      <c r="C2052" s="3" t="s">
        <v>13</v>
      </c>
      <c r="D2052" s="3" t="str">
        <f>IFERROR(__xludf.DUMMYFUNCTION("GOOGLETRANSLATE(A2052, ""en"", ""zh-CN"")"),"热带")</f>
        <v>热带</v>
      </c>
    </row>
    <row r="2053" ht="15.75" customHeight="1">
      <c r="A2053" s="3" t="s">
        <v>2078</v>
      </c>
      <c r="B2053" s="3" t="s">
        <v>8</v>
      </c>
      <c r="C2053" s="3" t="s">
        <v>16</v>
      </c>
      <c r="D2053" s="3" t="str">
        <f>IFERROR(__xludf.DUMMYFUNCTION("GOOGLETRANSLATE(A2053, ""en"", ""zh-CN"")"),"温度")</f>
        <v>温度</v>
      </c>
    </row>
    <row r="2054" ht="15.75" customHeight="1">
      <c r="A2054" s="3" t="s">
        <v>2079</v>
      </c>
      <c r="B2054" s="3" t="s">
        <v>8</v>
      </c>
      <c r="C2054" s="3" t="s">
        <v>9</v>
      </c>
      <c r="D2054" s="3" t="str">
        <f>IFERROR(__xludf.DUMMYFUNCTION("GOOGLETRANSLATE(A2054, ""en"", ""zh-CN"")"),"锡")</f>
        <v>锡</v>
      </c>
    </row>
    <row r="2055" ht="15.75" customHeight="1">
      <c r="A2055" s="3" t="s">
        <v>2080</v>
      </c>
      <c r="B2055" s="3" t="s">
        <v>22</v>
      </c>
      <c r="C2055" s="3" t="s">
        <v>13</v>
      </c>
      <c r="D2055" s="3" t="str">
        <f>IFERROR(__xludf.DUMMYFUNCTION("GOOGLETRANSLATE(A2055, ""en"", ""zh-CN"")"),"暂时的")</f>
        <v>暂时的</v>
      </c>
    </row>
    <row r="2056" ht="15.75" customHeight="1">
      <c r="A2056" s="3" t="s">
        <v>2081</v>
      </c>
      <c r="B2056" s="3" t="s">
        <v>22</v>
      </c>
      <c r="C2056" s="3" t="s">
        <v>9</v>
      </c>
      <c r="D2056" s="3" t="str">
        <f>IFERROR(__xludf.DUMMYFUNCTION("GOOGLETRANSLATE(A2056, ""en"", ""zh-CN"")"),"微小的")</f>
        <v>微小的</v>
      </c>
    </row>
    <row r="2057" ht="15.75" customHeight="1">
      <c r="A2057" s="3" t="s">
        <v>2082</v>
      </c>
      <c r="B2057" s="3" t="s">
        <v>8</v>
      </c>
      <c r="C2057" s="3" t="s">
        <v>6</v>
      </c>
      <c r="D2057" s="3" t="str">
        <f>IFERROR(__xludf.DUMMYFUNCTION("GOOGLETRANSLATE(A2057, ""en"", ""zh-CN"")"),"裤子")</f>
        <v>裤子</v>
      </c>
    </row>
    <row r="2058" ht="15.75" customHeight="1">
      <c r="A2058" s="3" t="s">
        <v>2083</v>
      </c>
      <c r="B2058" s="3" t="s">
        <v>227</v>
      </c>
      <c r="C2058" s="3" t="s">
        <v>6</v>
      </c>
      <c r="D2058" s="3" t="str">
        <f>IFERROR(__xludf.DUMMYFUNCTION("GOOGLETRANSLATE(A2058, ""en"", ""zh-CN"")"),"十")</f>
        <v>十</v>
      </c>
    </row>
    <row r="2059" ht="15.75" customHeight="1">
      <c r="A2059" s="3" t="s">
        <v>2084</v>
      </c>
      <c r="B2059" s="3" t="s">
        <v>8</v>
      </c>
      <c r="C2059" s="3" t="s">
        <v>16</v>
      </c>
      <c r="D2059" s="3" t="str">
        <f>IFERROR(__xludf.DUMMYFUNCTION("GOOGLETRANSLATE(A2059, ""en"", ""zh-CN"")"),"卡车")</f>
        <v>卡车</v>
      </c>
    </row>
    <row r="2060" ht="15.75" customHeight="1">
      <c r="A2060" s="3" t="s">
        <v>2085</v>
      </c>
      <c r="B2060" s="3" t="s">
        <v>12</v>
      </c>
      <c r="C2060" s="3" t="s">
        <v>9</v>
      </c>
      <c r="D2060" s="3" t="str">
        <f>IFERROR(__xludf.DUMMYFUNCTION("GOOGLETRANSLATE(A2060, ""en"", ""zh-CN"")"),"趋向")</f>
        <v>趋向</v>
      </c>
    </row>
    <row r="2061" ht="15.75" customHeight="1">
      <c r="A2061" s="3" t="s">
        <v>2086</v>
      </c>
      <c r="B2061" s="3" t="s">
        <v>22</v>
      </c>
      <c r="C2061" s="3" t="s">
        <v>6</v>
      </c>
      <c r="D2061" s="3" t="str">
        <f>IFERROR(__xludf.DUMMYFUNCTION("GOOGLETRANSLATE(A2061, ""en"", ""zh-CN"")"),"疲劳的")</f>
        <v>疲劳的</v>
      </c>
    </row>
    <row r="2062" ht="15.75" customHeight="1">
      <c r="A2062" s="3" t="s">
        <v>2087</v>
      </c>
      <c r="B2062" s="3" t="s">
        <v>22</v>
      </c>
      <c r="C2062" s="3" t="s">
        <v>6</v>
      </c>
      <c r="D2062" s="3" t="str">
        <f>IFERROR(__xludf.DUMMYFUNCTION("GOOGLETRANSLATE(A2062, ""en"", ""zh-CN"")"),"真的")</f>
        <v>真的</v>
      </c>
    </row>
    <row r="2063" ht="15.75" customHeight="1">
      <c r="A2063" s="3" t="s">
        <v>2088</v>
      </c>
      <c r="B2063" s="3" t="s">
        <v>8</v>
      </c>
      <c r="C2063" s="3" t="s">
        <v>6</v>
      </c>
      <c r="D2063" s="3" t="str">
        <f>IFERROR(__xludf.DUMMYFUNCTION("GOOGLETRANSLATE(A2063, ""en"", ""zh-CN"")"),"网球")</f>
        <v>网球</v>
      </c>
    </row>
    <row r="2064" ht="15.75" customHeight="1">
      <c r="A2064" s="3" t="s">
        <v>2089</v>
      </c>
      <c r="B2064" s="3" t="s">
        <v>20</v>
      </c>
      <c r="C2064" s="3" t="s">
        <v>13</v>
      </c>
      <c r="D2064" s="3" t="str">
        <f>IFERROR(__xludf.DUMMYFUNCTION("GOOGLETRANSLATE(A2064, ""en"", ""zh-CN"")"),"真的")</f>
        <v>真的</v>
      </c>
    </row>
    <row r="2065" ht="15.75" customHeight="1">
      <c r="A2065" s="3" t="s">
        <v>2090</v>
      </c>
      <c r="B2065" s="3" t="s">
        <v>8</v>
      </c>
      <c r="C2065" s="3" t="s">
        <v>9</v>
      </c>
      <c r="D2065" s="3" t="str">
        <f>IFERROR(__xludf.DUMMYFUNCTION("GOOGLETRANSLATE(A2065, ""en"", ""zh-CN"")"),"帐篷")</f>
        <v>帐篷</v>
      </c>
    </row>
    <row r="2066" ht="15.75" customHeight="1">
      <c r="A2066" s="3" t="s">
        <v>2091</v>
      </c>
      <c r="B2066" s="3" t="s">
        <v>8</v>
      </c>
      <c r="C2066" s="3" t="s">
        <v>9</v>
      </c>
      <c r="D2066" s="3" t="str">
        <f>IFERROR(__xludf.DUMMYFUNCTION("GOOGLETRANSLATE(A2066, ""en"", ""zh-CN"")"),"真相")</f>
        <v>真相</v>
      </c>
    </row>
    <row r="2067" ht="15.75" customHeight="1">
      <c r="A2067" s="3" t="s">
        <v>2092</v>
      </c>
      <c r="B2067" s="3" t="s">
        <v>22</v>
      </c>
      <c r="C2067" s="3" t="s">
        <v>6</v>
      </c>
      <c r="D2067" s="3" t="str">
        <f>IFERROR(__xludf.DUMMYFUNCTION("GOOGLETRANSLATE(A2067, ""en"", ""zh-CN"")"),"糟糕的")</f>
        <v>糟糕的</v>
      </c>
    </row>
    <row r="2068" ht="15.75" customHeight="1">
      <c r="A2068" s="3" t="s">
        <v>2093</v>
      </c>
      <c r="B2068" s="3" t="s">
        <v>8</v>
      </c>
      <c r="C2068" s="3" t="s">
        <v>9</v>
      </c>
      <c r="D2068" s="3" t="str">
        <f>IFERROR(__xludf.DUMMYFUNCTION("GOOGLETRANSLATE(A2068, ""en"", ""zh-CN"")"),"脚趾")</f>
        <v>脚趾</v>
      </c>
    </row>
    <row r="2069" ht="15.75" customHeight="1">
      <c r="A2069" s="3" t="s">
        <v>2094</v>
      </c>
      <c r="B2069" s="3" t="s">
        <v>20</v>
      </c>
      <c r="C2069" s="3" t="s">
        <v>6</v>
      </c>
      <c r="D2069" s="3" t="str">
        <f>IFERROR(__xludf.DUMMYFUNCTION("GOOGLETRANSLATE(A2069, ""en"", ""zh-CN"")"),"一起")</f>
        <v>一起</v>
      </c>
    </row>
    <row r="2070" ht="15.75" customHeight="1">
      <c r="A2070" s="3" t="s">
        <v>2095</v>
      </c>
      <c r="B2070" s="3" t="s">
        <v>8</v>
      </c>
      <c r="C2070" s="3" t="s">
        <v>6</v>
      </c>
      <c r="D2070" s="3" t="str">
        <f>IFERROR(__xludf.DUMMYFUNCTION("GOOGLETRANSLATE(A2070, ""en"", ""zh-CN"")"),"T恤")</f>
        <v>T恤</v>
      </c>
    </row>
    <row r="2071" ht="15.75" customHeight="1">
      <c r="A2071" s="3" t="s">
        <v>2096</v>
      </c>
      <c r="B2071" s="3" t="s">
        <v>8</v>
      </c>
      <c r="C2071" s="3" t="s">
        <v>6</v>
      </c>
      <c r="D2071" s="3" t="str">
        <f>IFERROR(__xludf.DUMMYFUNCTION("GOOGLETRANSLATE(A2071, ""en"", ""zh-CN"")"),"洗手间")</f>
        <v>洗手间</v>
      </c>
    </row>
    <row r="2072" ht="15.75" customHeight="1">
      <c r="A2072" s="3" t="s">
        <v>2097</v>
      </c>
      <c r="B2072" s="3" t="s">
        <v>8</v>
      </c>
      <c r="C2072" s="3" t="s">
        <v>9</v>
      </c>
      <c r="D2072" s="3" t="str">
        <f>IFERROR(__xludf.DUMMYFUNCTION("GOOGLETRANSLATE(A2072, ""en"", ""zh-CN"")"),"管子")</f>
        <v>管子</v>
      </c>
    </row>
    <row r="2073" ht="15.75" customHeight="1">
      <c r="A2073" s="3" t="s">
        <v>2098</v>
      </c>
      <c r="B2073" s="3" t="s">
        <v>72</v>
      </c>
      <c r="C2073" s="3" t="s">
        <v>6</v>
      </c>
      <c r="D2073" s="3" t="str">
        <f>IFERROR(__xludf.DUMMYFUNCTION("GOOGLETRANSLATE(A2073, ""en"", ""zh-CN"")"),"比")</f>
        <v>比</v>
      </c>
    </row>
    <row r="2074" ht="15.75" customHeight="1">
      <c r="A2074" s="3" t="s">
        <v>2099</v>
      </c>
      <c r="B2074" s="3" t="s">
        <v>8</v>
      </c>
      <c r="C2074" s="3" t="s">
        <v>6</v>
      </c>
      <c r="D2074" s="3" t="str">
        <f>IFERROR(__xludf.DUMMYFUNCTION("GOOGLETRANSLATE(A2074, ""en"", ""zh-CN"")"),"番茄")</f>
        <v>番茄</v>
      </c>
    </row>
    <row r="2075" ht="15.75" customHeight="1">
      <c r="A2075" s="3" t="s">
        <v>2100</v>
      </c>
      <c r="B2075" s="3" t="s">
        <v>8</v>
      </c>
      <c r="C2075" s="3" t="s">
        <v>6</v>
      </c>
      <c r="D2075" s="3" t="str">
        <f>IFERROR(__xludf.DUMMYFUNCTION("GOOGLETRANSLATE(A2075, ""en"", ""zh-CN"")"),"周二")</f>
        <v>周二</v>
      </c>
    </row>
    <row r="2076" ht="15.75" customHeight="1">
      <c r="A2076" s="3" t="s">
        <v>2101</v>
      </c>
      <c r="B2076" s="3" t="s">
        <v>12</v>
      </c>
      <c r="C2076" s="3" t="s">
        <v>6</v>
      </c>
      <c r="D2076" s="3" t="str">
        <f>IFERROR(__xludf.DUMMYFUNCTION("GOOGLETRANSLATE(A2076, ""en"", ""zh-CN"")"),"感谢")</f>
        <v>感谢</v>
      </c>
    </row>
    <row r="2077" ht="15.75" customHeight="1">
      <c r="A2077" s="3" t="s">
        <v>2102</v>
      </c>
      <c r="B2077" s="3" t="s">
        <v>8</v>
      </c>
      <c r="C2077" s="3" t="s">
        <v>13</v>
      </c>
      <c r="D2077" s="3" t="str">
        <f>IFERROR(__xludf.DUMMYFUNCTION("GOOGLETRANSLATE(A2077, ""en"", ""zh-CN"")"),"调")</f>
        <v>调</v>
      </c>
    </row>
    <row r="2078" ht="15.75" customHeight="1">
      <c r="A2078" s="3" t="s">
        <v>2103</v>
      </c>
      <c r="B2078" s="3" t="s">
        <v>8</v>
      </c>
      <c r="C2078" s="3" t="s">
        <v>13</v>
      </c>
      <c r="D2078" s="3" t="str">
        <f>IFERROR(__xludf.DUMMYFUNCTION("GOOGLETRANSLATE(A2078, ""en"", ""zh-CN"")"),"语气")</f>
        <v>语气</v>
      </c>
    </row>
    <row r="2079" ht="15.75" customHeight="1">
      <c r="A2079" s="3" t="s">
        <v>2104</v>
      </c>
      <c r="B2079" s="3" t="s">
        <v>8</v>
      </c>
      <c r="C2079" s="3" t="s">
        <v>13</v>
      </c>
      <c r="D2079" s="3" t="str">
        <f>IFERROR(__xludf.DUMMYFUNCTION("GOOGLETRANSLATE(A2079, ""en"", ""zh-CN"")"),"隧道")</f>
        <v>隧道</v>
      </c>
    </row>
    <row r="2080" ht="15.75" customHeight="1">
      <c r="A2080" s="3" t="s">
        <v>2105</v>
      </c>
      <c r="B2080" s="3" t="s">
        <v>8</v>
      </c>
      <c r="C2080" s="3" t="s">
        <v>9</v>
      </c>
      <c r="D2080" s="3" t="str">
        <f>IFERROR(__xludf.DUMMYFUNCTION("GOOGLETRANSLATE(A2080, ""en"", ""zh-CN"")"),"舌头")</f>
        <v>舌头</v>
      </c>
    </row>
    <row r="2081" ht="15.75" customHeight="1">
      <c r="A2081" s="3" t="s">
        <v>2106</v>
      </c>
      <c r="B2081" s="3" t="s">
        <v>8</v>
      </c>
      <c r="C2081" s="3" t="s">
        <v>6</v>
      </c>
      <c r="D2081" s="3" t="str">
        <f>IFERROR(__xludf.DUMMYFUNCTION("GOOGLETRANSLATE(A2081, ""en"", ""zh-CN"")"),"电视")</f>
        <v>电视</v>
      </c>
    </row>
    <row r="2082" ht="15.75" customHeight="1">
      <c r="A2082" s="3" t="s">
        <v>2107</v>
      </c>
      <c r="B2082" s="3" t="s">
        <v>8</v>
      </c>
      <c r="C2082" s="3" t="s">
        <v>6</v>
      </c>
      <c r="D2082" s="3" t="str">
        <f>IFERROR(__xludf.DUMMYFUNCTION("GOOGLETRANSLATE(A2082, ""en"", ""zh-CN"")"),"剧院")</f>
        <v>剧院</v>
      </c>
    </row>
    <row r="2083" ht="15.75" customHeight="1">
      <c r="A2083" s="3" t="s">
        <v>2108</v>
      </c>
      <c r="B2083" s="3" t="s">
        <v>20</v>
      </c>
      <c r="C2083" s="3" t="s">
        <v>6</v>
      </c>
      <c r="D2083" s="3" t="str">
        <f>IFERROR(__xludf.DUMMYFUNCTION("GOOGLETRANSLATE(A2083, ""en"", ""zh-CN"")"),"也")</f>
        <v>也</v>
      </c>
    </row>
    <row r="2084" ht="15.75" customHeight="1">
      <c r="A2084" s="3" t="s">
        <v>2109</v>
      </c>
      <c r="B2084" s="3" t="s">
        <v>227</v>
      </c>
      <c r="C2084" s="3" t="s">
        <v>6</v>
      </c>
      <c r="D2084" s="3" t="str">
        <f>IFERROR(__xludf.DUMMYFUNCTION("GOOGLETRANSLATE(A2084, ""en"", ""zh-CN"")"),"十二")</f>
        <v>十二</v>
      </c>
    </row>
    <row r="2085" ht="15.75" customHeight="1">
      <c r="A2085" s="3" t="s">
        <v>2110</v>
      </c>
      <c r="B2085" s="3" t="s">
        <v>783</v>
      </c>
      <c r="C2085" s="3" t="s">
        <v>6</v>
      </c>
      <c r="D2085" s="3" t="str">
        <f>IFERROR(__xludf.DUMMYFUNCTION("GOOGLETRANSLATE(A2085, ""en"", ""zh-CN"")"),"他们的")</f>
        <v>他们的</v>
      </c>
    </row>
    <row r="2086" ht="15.75" customHeight="1">
      <c r="A2086" s="3" t="s">
        <v>2111</v>
      </c>
      <c r="B2086" s="3" t="s">
        <v>8</v>
      </c>
      <c r="C2086" s="3" t="s">
        <v>16</v>
      </c>
      <c r="D2086" s="3" t="str">
        <f>IFERROR(__xludf.DUMMYFUNCTION("GOOGLETRANSLATE(A2086, ""en"", ""zh-CN"")"),"工具")</f>
        <v>工具</v>
      </c>
    </row>
    <row r="2087" ht="15.75" customHeight="1">
      <c r="A2087" s="3" t="s">
        <v>2112</v>
      </c>
      <c r="B2087" s="3" t="s">
        <v>227</v>
      </c>
      <c r="C2087" s="3" t="s">
        <v>6</v>
      </c>
      <c r="D2087" s="3" t="str">
        <f>IFERROR(__xludf.DUMMYFUNCTION("GOOGLETRANSLATE(A2087, ""en"", ""zh-CN"")"),"二十")</f>
        <v>二十</v>
      </c>
    </row>
    <row r="2088" ht="15.75" customHeight="1">
      <c r="A2088" s="3" t="s">
        <v>2113</v>
      </c>
      <c r="B2088" s="3" t="s">
        <v>146</v>
      </c>
      <c r="C2088" s="3" t="s">
        <v>9</v>
      </c>
      <c r="D2088" s="3" t="str">
        <f>IFERROR(__xludf.DUMMYFUNCTION("GOOGLETRANSLATE(A2088, ""en"", ""zh-CN"")"),"他们的")</f>
        <v>他们的</v>
      </c>
    </row>
    <row r="2089" ht="15.75" customHeight="1">
      <c r="A2089" s="3" t="s">
        <v>2114</v>
      </c>
      <c r="B2089" s="3" t="s">
        <v>8</v>
      </c>
      <c r="C2089" s="3" t="s">
        <v>6</v>
      </c>
      <c r="D2089" s="3" t="str">
        <f>IFERROR(__xludf.DUMMYFUNCTION("GOOGLETRANSLATE(A2089, ""en"", ""zh-CN"")"),"齿")</f>
        <v>齿</v>
      </c>
    </row>
    <row r="2090" ht="15.75" customHeight="1">
      <c r="A2090" s="3" t="s">
        <v>2115</v>
      </c>
      <c r="B2090" s="3" t="s">
        <v>20</v>
      </c>
      <c r="C2090" s="3" t="s">
        <v>6</v>
      </c>
      <c r="D2090" s="3" t="str">
        <f>IFERROR(__xludf.DUMMYFUNCTION("GOOGLETRANSLATE(A2090, ""en"", ""zh-CN"")"),"两次")</f>
        <v>两次</v>
      </c>
    </row>
    <row r="2091" ht="15.75" customHeight="1">
      <c r="A2091" s="3" t="s">
        <v>2116</v>
      </c>
      <c r="B2091" s="3" t="s">
        <v>146</v>
      </c>
      <c r="C2091" s="3" t="s">
        <v>6</v>
      </c>
      <c r="D2091" s="3" t="str">
        <f>IFERROR(__xludf.DUMMYFUNCTION("GOOGLETRANSLATE(A2091, ""en"", ""zh-CN"")"),"他们")</f>
        <v>他们</v>
      </c>
    </row>
    <row r="2092" ht="15.75" customHeight="1">
      <c r="A2092" s="3" t="s">
        <v>2117</v>
      </c>
      <c r="B2092" s="3" t="s">
        <v>8</v>
      </c>
      <c r="C2092" s="3" t="s">
        <v>9</v>
      </c>
      <c r="D2092" s="3" t="str">
        <f>IFERROR(__xludf.DUMMYFUNCTION("GOOGLETRANSLATE(A2092, ""en"", ""zh-CN"")"),"主题")</f>
        <v>主题</v>
      </c>
    </row>
    <row r="2093" ht="15.75" customHeight="1">
      <c r="A2093" s="3" t="s">
        <v>2118</v>
      </c>
      <c r="B2093" s="3" t="s">
        <v>8</v>
      </c>
      <c r="C2093" s="3" t="s">
        <v>6</v>
      </c>
      <c r="D2093" s="3" t="str">
        <f>IFERROR(__xludf.DUMMYFUNCTION("GOOGLETRANSLATE(A2093, ""en"", ""zh-CN"")"),"话题")</f>
        <v>话题</v>
      </c>
    </row>
    <row r="2094" ht="15.75" customHeight="1">
      <c r="A2094" s="3" t="s">
        <v>2119</v>
      </c>
      <c r="B2094" s="3" t="s">
        <v>227</v>
      </c>
      <c r="C2094" s="3" t="s">
        <v>6</v>
      </c>
      <c r="D2094" s="3" t="str">
        <f>IFERROR(__xludf.DUMMYFUNCTION("GOOGLETRANSLATE(A2094, ""en"", ""zh-CN"")"),"二")</f>
        <v>二</v>
      </c>
    </row>
    <row r="2095" ht="15.75" customHeight="1">
      <c r="A2095" s="3" t="s">
        <v>2120</v>
      </c>
      <c r="B2095" s="3" t="s">
        <v>146</v>
      </c>
      <c r="C2095" s="3" t="s">
        <v>16</v>
      </c>
      <c r="D2095" s="3" t="str">
        <f>IFERROR(__xludf.DUMMYFUNCTION("GOOGLETRANSLATE(A2095, ""en"", ""zh-CN"")"),"他们自己")</f>
        <v>他们自己</v>
      </c>
    </row>
    <row r="2096" ht="15.75" customHeight="1">
      <c r="A2096" s="3" t="s">
        <v>2121</v>
      </c>
      <c r="B2096" s="3" t="s">
        <v>20</v>
      </c>
      <c r="C2096" s="3" t="s">
        <v>6</v>
      </c>
      <c r="D2096" s="3" t="str">
        <f>IFERROR(__xludf.DUMMYFUNCTION("GOOGLETRANSLATE(A2096, ""en"", ""zh-CN"")"),"然后")</f>
        <v>然后</v>
      </c>
    </row>
    <row r="2097" ht="15.75" customHeight="1">
      <c r="A2097" s="3" t="s">
        <v>2122</v>
      </c>
      <c r="B2097" s="3" t="s">
        <v>20</v>
      </c>
      <c r="C2097" s="3" t="s">
        <v>9</v>
      </c>
      <c r="D2097" s="3" t="str">
        <f>IFERROR(__xludf.DUMMYFUNCTION("GOOGLETRANSLATE(A2097, ""en"", ""zh-CN"")"),"完全")</f>
        <v>完全</v>
      </c>
    </row>
    <row r="2098" ht="15.75" customHeight="1">
      <c r="A2098" s="3" t="s">
        <v>2123</v>
      </c>
      <c r="B2098" s="3" t="s">
        <v>22</v>
      </c>
      <c r="C2098" s="3" t="s">
        <v>16</v>
      </c>
      <c r="D2098" s="3" t="str">
        <f>IFERROR(__xludf.DUMMYFUNCTION("GOOGLETRANSLATE(A2098, ""en"", ""zh-CN"")"),"典型的")</f>
        <v>典型的</v>
      </c>
    </row>
    <row r="2099" ht="15.75" customHeight="1">
      <c r="A2099" s="3" t="s">
        <v>2124</v>
      </c>
      <c r="B2099" s="3" t="s">
        <v>8</v>
      </c>
      <c r="C2099" s="3" t="s">
        <v>9</v>
      </c>
      <c r="D2099" s="3" t="str">
        <f>IFERROR(__xludf.DUMMYFUNCTION("GOOGLETRANSLATE(A2099, ""en"", ""zh-CN"")"),"理论")</f>
        <v>理论</v>
      </c>
    </row>
    <row r="2100" ht="15.75" customHeight="1">
      <c r="A2100" s="3" t="s">
        <v>2125</v>
      </c>
      <c r="B2100" s="3" t="s">
        <v>20</v>
      </c>
      <c r="C2100" s="3" t="s">
        <v>9</v>
      </c>
      <c r="D2100" s="3" t="str">
        <f>IFERROR(__xludf.DUMMYFUNCTION("GOOGLETRANSLATE(A2100, ""en"", ""zh-CN"")"),"通常")</f>
        <v>通常</v>
      </c>
    </row>
    <row r="2101" ht="15.75" customHeight="1">
      <c r="A2101" s="3" t="s">
        <v>2126</v>
      </c>
      <c r="B2101" s="3" t="s">
        <v>8</v>
      </c>
      <c r="C2101" s="3" t="s">
        <v>13</v>
      </c>
      <c r="D2101" s="3" t="str">
        <f>IFERROR(__xludf.DUMMYFUNCTION("GOOGLETRANSLATE(A2101, ""en"", ""zh-CN"")"),"治疗")</f>
        <v>治疗</v>
      </c>
    </row>
    <row r="2102" ht="15.75" customHeight="1">
      <c r="A2102" s="3" t="s">
        <v>2127</v>
      </c>
      <c r="B2102" s="3" t="s">
        <v>22</v>
      </c>
      <c r="C2102" s="3" t="s">
        <v>13</v>
      </c>
      <c r="D2102" s="3" t="str">
        <f>IFERROR(__xludf.DUMMYFUNCTION("GOOGLETRANSLATE(A2102, ""en"", ""zh-CN"")"),"艰难的")</f>
        <v>艰难的</v>
      </c>
    </row>
    <row r="2103" ht="15.75" customHeight="1">
      <c r="A2103" s="3" t="s">
        <v>2128</v>
      </c>
      <c r="B2103" s="3" t="s">
        <v>8</v>
      </c>
      <c r="C2103" s="3" t="s">
        <v>9</v>
      </c>
      <c r="D2103" s="3" t="str">
        <f>IFERROR(__xludf.DUMMYFUNCTION("GOOGLETRANSLATE(A2103, ""en"", ""zh-CN"")"),"胎")</f>
        <v>胎</v>
      </c>
    </row>
    <row r="2104" ht="15.75" customHeight="1">
      <c r="A2104" s="3" t="s">
        <v>2129</v>
      </c>
      <c r="B2104" s="3" t="s">
        <v>20</v>
      </c>
      <c r="C2104" s="3" t="s">
        <v>6</v>
      </c>
      <c r="D2104" s="3" t="str">
        <f>IFERROR(__xludf.DUMMYFUNCTION("GOOGLETRANSLATE(A2104, ""en"", ""zh-CN"")"),"那里")</f>
        <v>那里</v>
      </c>
    </row>
    <row r="2105" ht="15.75" customHeight="1">
      <c r="A2105" s="3" t="s">
        <v>2130</v>
      </c>
      <c r="B2105" s="3" t="s">
        <v>22</v>
      </c>
      <c r="C2105" s="3" t="s">
        <v>9</v>
      </c>
      <c r="D2105" s="3" t="str">
        <f>IFERROR(__xludf.DUMMYFUNCTION("GOOGLETRANSLATE(A2105, ""en"", ""zh-CN"")"),"丑陋的")</f>
        <v>丑陋的</v>
      </c>
    </row>
    <row r="2106" ht="15.75" customHeight="1">
      <c r="A2106" s="3" t="s">
        <v>2131</v>
      </c>
      <c r="B2106" s="3" t="s">
        <v>22</v>
      </c>
      <c r="C2106" s="3" t="s">
        <v>16</v>
      </c>
      <c r="D2106" s="3" t="str">
        <f>IFERROR(__xludf.DUMMYFUNCTION("GOOGLETRANSLATE(A2106, ""en"", ""zh-CN"")"),"不开心")</f>
        <v>不开心</v>
      </c>
    </row>
    <row r="2107" ht="15.75" customHeight="1">
      <c r="A2107" s="3" t="s">
        <v>2132</v>
      </c>
      <c r="B2107" s="3" t="s">
        <v>20</v>
      </c>
      <c r="C2107" s="3" t="s">
        <v>13</v>
      </c>
      <c r="D2107" s="3" t="str">
        <f>IFERROR(__xludf.DUMMYFUNCTION("GOOGLETRANSLATE(A2107, ""en"", ""zh-CN"")"),"最终")</f>
        <v>最终</v>
      </c>
    </row>
    <row r="2108" ht="15.75" customHeight="1">
      <c r="A2108" s="3" t="s">
        <v>2133</v>
      </c>
      <c r="B2108" s="3" t="s">
        <v>8</v>
      </c>
      <c r="C2108" s="3" t="s">
        <v>16</v>
      </c>
      <c r="D2108" s="3" t="str">
        <f>IFERROR(__xludf.DUMMYFUNCTION("GOOGLETRANSLATE(A2108, ""en"", ""zh-CN"")"),"制服")</f>
        <v>制服</v>
      </c>
    </row>
    <row r="2109" ht="15.75" customHeight="1">
      <c r="A2109" s="3" t="s">
        <v>2134</v>
      </c>
      <c r="B2109" s="3" t="s">
        <v>88</v>
      </c>
      <c r="C2109" s="3" t="s">
        <v>9</v>
      </c>
      <c r="D2109" s="3" t="str">
        <f>IFERROR(__xludf.DUMMYFUNCTION("GOOGLETRANSLATE(A2109, ""en"", ""zh-CN"")"),"之上")</f>
        <v>之上</v>
      </c>
    </row>
    <row r="2110" ht="15.75" customHeight="1">
      <c r="A2110" s="3" t="s">
        <v>2135</v>
      </c>
      <c r="B2110" s="3" t="s">
        <v>8</v>
      </c>
      <c r="C2110" s="3" t="s">
        <v>6</v>
      </c>
      <c r="D2110" s="3" t="str">
        <f>IFERROR(__xludf.DUMMYFUNCTION("GOOGLETRANSLATE(A2110, ""en"", ""zh-CN"")"),"伞")</f>
        <v>伞</v>
      </c>
    </row>
    <row r="2111" ht="15.75" customHeight="1">
      <c r="A2111" s="3" t="s">
        <v>2136</v>
      </c>
      <c r="B2111" s="3" t="s">
        <v>8</v>
      </c>
      <c r="C2111" s="3" t="s">
        <v>9</v>
      </c>
      <c r="D2111" s="3" t="str">
        <f>IFERROR(__xludf.DUMMYFUNCTION("GOOGLETRANSLATE(A2111, ""en"", ""zh-CN"")"),"联盟")</f>
        <v>联盟</v>
      </c>
    </row>
    <row r="2112" ht="15.75" customHeight="1">
      <c r="A2112" s="3" t="s">
        <v>2137</v>
      </c>
      <c r="B2112" s="3" t="s">
        <v>22</v>
      </c>
      <c r="C2112" s="3" t="s">
        <v>13</v>
      </c>
      <c r="D2112" s="3" t="str">
        <f>IFERROR(__xludf.DUMMYFUNCTION("GOOGLETRANSLATE(A2112, ""en"", ""zh-CN"")"),"上")</f>
        <v>上</v>
      </c>
    </row>
    <row r="2113" ht="15.75" customHeight="1">
      <c r="A2113" s="3" t="s">
        <v>2138</v>
      </c>
      <c r="B2113" s="3" t="s">
        <v>22</v>
      </c>
      <c r="C2113" s="3" t="s">
        <v>9</v>
      </c>
      <c r="D2113" s="3" t="str">
        <f>IFERROR(__xludf.DUMMYFUNCTION("GOOGLETRANSLATE(A2113, ""en"", ""zh-CN"")"),"无法")</f>
        <v>无法</v>
      </c>
    </row>
    <row r="2114" ht="15.75" customHeight="1">
      <c r="A2114" s="3" t="s">
        <v>2139</v>
      </c>
      <c r="B2114" s="3" t="s">
        <v>22</v>
      </c>
      <c r="C2114" s="3" t="s">
        <v>13</v>
      </c>
      <c r="D2114" s="3" t="str">
        <f>IFERROR(__xludf.DUMMYFUNCTION("GOOGLETRANSLATE(A2114, ""en"", ""zh-CN"")"),"独特的")</f>
        <v>独特的</v>
      </c>
    </row>
    <row r="2115" ht="15.75" customHeight="1">
      <c r="A2115" s="3" t="s">
        <v>2140</v>
      </c>
      <c r="B2115" s="3" t="s">
        <v>8</v>
      </c>
      <c r="C2115" s="3" t="s">
        <v>6</v>
      </c>
      <c r="D2115" s="3" t="str">
        <f>IFERROR(__xludf.DUMMYFUNCTION("GOOGLETRANSLATE(A2115, ""en"", ""zh-CN"")"),"叔叔")</f>
        <v>叔叔</v>
      </c>
    </row>
    <row r="2116" ht="15.75" customHeight="1">
      <c r="A2116" s="3" t="s">
        <v>2141</v>
      </c>
      <c r="B2116" s="3" t="s">
        <v>8</v>
      </c>
      <c r="C2116" s="3" t="s">
        <v>16</v>
      </c>
      <c r="D2116" s="3" t="str">
        <f>IFERROR(__xludf.DUMMYFUNCTION("GOOGLETRANSLATE(A2116, ""en"", ""zh-CN"")"),"单元")</f>
        <v>单元</v>
      </c>
    </row>
    <row r="2117" ht="15.75" customHeight="1">
      <c r="A2117" s="3" t="s">
        <v>2142</v>
      </c>
      <c r="B2117" s="3" t="s">
        <v>22</v>
      </c>
      <c r="C2117" s="3" t="s">
        <v>9</v>
      </c>
      <c r="D2117" s="3" t="str">
        <f>IFERROR(__xludf.DUMMYFUNCTION("GOOGLETRANSLATE(A2117, ""en"", ""zh-CN"")"),"不舒服")</f>
        <v>不舒服</v>
      </c>
    </row>
    <row r="2118" ht="15.75" customHeight="1">
      <c r="A2118" s="3" t="s">
        <v>2143</v>
      </c>
      <c r="B2118" s="3" t="s">
        <v>22</v>
      </c>
      <c r="C2118" s="3" t="s">
        <v>16</v>
      </c>
      <c r="D2118" s="3" t="str">
        <f>IFERROR(__xludf.DUMMYFUNCTION("GOOGLETRANSLATE(A2118, ""en"", ""zh-CN"")"),"团结的")</f>
        <v>团结的</v>
      </c>
    </row>
    <row r="2119" ht="15.75" customHeight="1">
      <c r="A2119" s="3" t="s">
        <v>2144</v>
      </c>
      <c r="B2119" s="3" t="s">
        <v>20</v>
      </c>
      <c r="C2119" s="3" t="s">
        <v>13</v>
      </c>
      <c r="D2119" s="3" t="str">
        <f>IFERROR(__xludf.DUMMYFUNCTION("GOOGLETRANSLATE(A2119, ""en"", ""zh-CN"")"),"向上")</f>
        <v>向上</v>
      </c>
    </row>
    <row r="2120" ht="15.75" customHeight="1">
      <c r="A2120" s="3" t="s">
        <v>2145</v>
      </c>
      <c r="B2120" s="3" t="s">
        <v>22</v>
      </c>
      <c r="C2120" s="3" t="s">
        <v>13</v>
      </c>
      <c r="D2120" s="3" t="str">
        <f>IFERROR(__xludf.DUMMYFUNCTION("GOOGLETRANSLATE(A2120, ""en"", ""zh-CN"")"),"无意识")</f>
        <v>无意识</v>
      </c>
    </row>
    <row r="2121" ht="15.75" customHeight="1">
      <c r="A2121" s="3" t="s">
        <v>2146</v>
      </c>
      <c r="B2121" s="3" t="s">
        <v>8</v>
      </c>
      <c r="C2121" s="3" t="s">
        <v>13</v>
      </c>
      <c r="D2121" s="3" t="str">
        <f>IFERROR(__xludf.DUMMYFUNCTION("GOOGLETRANSLATE(A2121, ""en"", ""zh-CN"")"),"宇宙")</f>
        <v>宇宙</v>
      </c>
    </row>
    <row r="2122" ht="15.75" customHeight="1">
      <c r="A2122" s="3" t="s">
        <v>2147</v>
      </c>
      <c r="B2122" s="3" t="s">
        <v>22</v>
      </c>
      <c r="C2122" s="3" t="s">
        <v>13</v>
      </c>
      <c r="D2122" s="3" t="str">
        <f>IFERROR(__xludf.DUMMYFUNCTION("GOOGLETRANSLATE(A2122, ""en"", ""zh-CN"")"),"城市的")</f>
        <v>城市的</v>
      </c>
    </row>
    <row r="2123" ht="15.75" customHeight="1">
      <c r="A2123" s="3" t="s">
        <v>2148</v>
      </c>
      <c r="B2123" s="3" t="s">
        <v>8</v>
      </c>
      <c r="C2123" s="3" t="s">
        <v>6</v>
      </c>
      <c r="D2123" s="3" t="str">
        <f>IFERROR(__xludf.DUMMYFUNCTION("GOOGLETRANSLATE(A2123, ""en"", ""zh-CN"")"),"大学")</f>
        <v>大学</v>
      </c>
    </row>
    <row r="2124" ht="15.75" customHeight="1">
      <c r="A2124" s="3" t="s">
        <v>2149</v>
      </c>
      <c r="B2124" s="3" t="s">
        <v>12</v>
      </c>
      <c r="C2124" s="3" t="s">
        <v>13</v>
      </c>
      <c r="D2124" s="3" t="str">
        <f>IFERROR(__xludf.DUMMYFUNCTION("GOOGLETRANSLATE(A2124, ""en"", ""zh-CN"")"),"敦促")</f>
        <v>敦促</v>
      </c>
    </row>
    <row r="2125" ht="15.75" customHeight="1">
      <c r="A2125" s="3" t="s">
        <v>2150</v>
      </c>
      <c r="B2125" s="3" t="s">
        <v>22</v>
      </c>
      <c r="C2125" s="3" t="s">
        <v>13</v>
      </c>
      <c r="D2125" s="3" t="str">
        <f>IFERROR(__xludf.DUMMYFUNCTION("GOOGLETRANSLATE(A2125, ""en"", ""zh-CN"")"),"未知")</f>
        <v>未知</v>
      </c>
    </row>
    <row r="2126" ht="15.75" customHeight="1">
      <c r="A2126" s="3" t="s">
        <v>2151</v>
      </c>
      <c r="B2126" s="3" t="s">
        <v>146</v>
      </c>
      <c r="C2126" s="3" t="s">
        <v>6</v>
      </c>
      <c r="D2126" s="3" t="str">
        <f>IFERROR(__xludf.DUMMYFUNCTION("GOOGLETRANSLATE(A2126, ""en"", ""zh-CN"")"),"我们")</f>
        <v>我们</v>
      </c>
    </row>
    <row r="2127" ht="15.75" customHeight="1">
      <c r="A2127" s="3" t="s">
        <v>2152</v>
      </c>
      <c r="B2127" s="3" t="s">
        <v>12</v>
      </c>
      <c r="C2127" s="3" t="s">
        <v>6</v>
      </c>
      <c r="D2127" s="3" t="str">
        <f>IFERROR(__xludf.DUMMYFUNCTION("GOOGLETRANSLATE(A2127, ""en"", ""zh-CN"")"),"理解")</f>
        <v>理解</v>
      </c>
    </row>
    <row r="2128" ht="15.75" customHeight="1">
      <c r="A2128" s="3" t="s">
        <v>2153</v>
      </c>
      <c r="B2128" s="3" t="s">
        <v>72</v>
      </c>
      <c r="C2128" s="3" t="s">
        <v>9</v>
      </c>
      <c r="D2128" s="3" t="str">
        <f>IFERROR(__xludf.DUMMYFUNCTION("GOOGLETRANSLATE(A2128, ""en"", ""zh-CN"")"),"除非")</f>
        <v>除非</v>
      </c>
    </row>
    <row r="2129" ht="15.75" customHeight="1">
      <c r="A2129" s="3" t="s">
        <v>2154</v>
      </c>
      <c r="B2129" s="3" t="s">
        <v>8</v>
      </c>
      <c r="C2129" s="3" t="s">
        <v>16</v>
      </c>
      <c r="D2129" s="3" t="str">
        <f>IFERROR(__xludf.DUMMYFUNCTION("GOOGLETRANSLATE(A2129, ""en"", ""zh-CN"")"),"理解")</f>
        <v>理解</v>
      </c>
    </row>
    <row r="2130" ht="15.75" customHeight="1">
      <c r="A2130" s="3" t="s">
        <v>2155</v>
      </c>
      <c r="B2130" s="3" t="s">
        <v>88</v>
      </c>
      <c r="C2130" s="3" t="s">
        <v>9</v>
      </c>
      <c r="D2130" s="3" t="str">
        <f>IFERROR(__xludf.DUMMYFUNCTION("GOOGLETRANSLATE(A2130, ""en"", ""zh-CN"")"),"与众不同")</f>
        <v>与众不同</v>
      </c>
    </row>
    <row r="2131" ht="15.75" customHeight="1">
      <c r="A2131" s="3" t="s">
        <v>2156</v>
      </c>
      <c r="B2131" s="3" t="s">
        <v>22</v>
      </c>
      <c r="C2131" s="3" t="s">
        <v>9</v>
      </c>
      <c r="D2131" s="3" t="str">
        <f>IFERROR(__xludf.DUMMYFUNCTION("GOOGLETRANSLATE(A2131, ""en"", ""zh-CN"")"),"二手1")</f>
        <v>二手1</v>
      </c>
    </row>
    <row r="2132" ht="15.75" customHeight="1">
      <c r="A2132" s="3" t="s">
        <v>2157</v>
      </c>
      <c r="B2132" s="3" t="s">
        <v>8</v>
      </c>
      <c r="C2132" s="3" t="s">
        <v>9</v>
      </c>
      <c r="D2132" s="3" t="str">
        <f>IFERROR(__xludf.DUMMYFUNCTION("GOOGLETRANSLATE(A2132, ""en"", ""zh-CN"")"),"内衣")</f>
        <v>内衣</v>
      </c>
    </row>
    <row r="2133" ht="15.75" customHeight="1">
      <c r="A2133" s="3" t="s">
        <v>2158</v>
      </c>
      <c r="B2133" s="3" t="s">
        <v>22</v>
      </c>
      <c r="C2133" s="3" t="s">
        <v>9</v>
      </c>
      <c r="D2133" s="3" t="str">
        <f>IFERROR(__xludf.DUMMYFUNCTION("GOOGLETRANSLATE(A2133, ""en"", ""zh-CN"")"),"不太可能")</f>
        <v>不太可能</v>
      </c>
    </row>
    <row r="2134" ht="15.75" customHeight="1">
      <c r="A2134" s="3" t="s">
        <v>2159</v>
      </c>
      <c r="B2134" s="3" t="s">
        <v>22</v>
      </c>
      <c r="C2134" s="3" t="s">
        <v>9</v>
      </c>
      <c r="D2134" s="3" t="str">
        <f>IFERROR(__xludf.DUMMYFUNCTION("GOOGLETRANSLATE(A2134, ""en"", ""zh-CN"")"),"二手2")</f>
        <v>二手2</v>
      </c>
    </row>
    <row r="2135" ht="15.75" customHeight="1">
      <c r="A2135" s="3" t="s">
        <v>2160</v>
      </c>
      <c r="B2135" s="3" t="s">
        <v>22</v>
      </c>
      <c r="C2135" s="3" t="s">
        <v>9</v>
      </c>
      <c r="D2135" s="3" t="str">
        <f>IFERROR(__xludf.DUMMYFUNCTION("GOOGLETRANSLATE(A2135, ""en"", ""zh-CN"")"),"失业")</f>
        <v>失业</v>
      </c>
    </row>
    <row r="2136" ht="15.75" customHeight="1">
      <c r="A2136" s="3" t="s">
        <v>2161</v>
      </c>
      <c r="B2136" s="3" t="s">
        <v>22</v>
      </c>
      <c r="C2136" s="3" t="s">
        <v>9</v>
      </c>
      <c r="D2136" s="3" t="str">
        <f>IFERROR(__xludf.DUMMYFUNCTION("GOOGLETRANSLATE(A2136, ""en"", ""zh-CN"")"),"不必要")</f>
        <v>不必要</v>
      </c>
    </row>
    <row r="2137" ht="15.75" customHeight="1">
      <c r="A2137" s="3" t="s">
        <v>2162</v>
      </c>
      <c r="B2137" s="3" t="s">
        <v>8</v>
      </c>
      <c r="C2137" s="3" t="s">
        <v>9</v>
      </c>
      <c r="D2137" s="3" t="str">
        <f>IFERROR(__xludf.DUMMYFUNCTION("GOOGLETRANSLATE(A2137, ""en"", ""zh-CN"")"),"失业")</f>
        <v>失业</v>
      </c>
    </row>
    <row r="2138" ht="15.75" customHeight="1">
      <c r="A2138" s="3" t="s">
        <v>2163</v>
      </c>
      <c r="B2138" s="3" t="s">
        <v>22</v>
      </c>
      <c r="C2138" s="3" t="s">
        <v>9</v>
      </c>
      <c r="D2138" s="3" t="str">
        <f>IFERROR(__xludf.DUMMYFUNCTION("GOOGLETRANSLATE(A2138, ""en"", ""zh-CN"")"),"不愉快")</f>
        <v>不愉快</v>
      </c>
    </row>
    <row r="2139" ht="15.75" customHeight="1">
      <c r="A2139" s="3" t="s">
        <v>2164</v>
      </c>
      <c r="B2139" s="3" t="s">
        <v>22</v>
      </c>
      <c r="C2139" s="3" t="s">
        <v>6</v>
      </c>
      <c r="D2139" s="3" t="str">
        <f>IFERROR(__xludf.DUMMYFUNCTION("GOOGLETRANSLATE(A2139, ""en"", ""zh-CN"")"),"有用")</f>
        <v>有用</v>
      </c>
    </row>
    <row r="2140" ht="15.75" customHeight="1">
      <c r="A2140" s="3" t="s">
        <v>2165</v>
      </c>
      <c r="B2140" s="3" t="s">
        <v>22</v>
      </c>
      <c r="C2140" s="3" t="s">
        <v>13</v>
      </c>
      <c r="D2140" s="3" t="str">
        <f>IFERROR(__xludf.DUMMYFUNCTION("GOOGLETRANSLATE(A2140, ""en"", ""zh-CN"")"),"意外")</f>
        <v>意外</v>
      </c>
    </row>
    <row r="2141" ht="15.75" customHeight="1">
      <c r="A2141" s="3" t="s">
        <v>2166</v>
      </c>
      <c r="B2141" s="3" t="s">
        <v>2075</v>
      </c>
      <c r="C2141" s="3" t="s">
        <v>6</v>
      </c>
      <c r="D2141" s="3" t="str">
        <f>IFERROR(__xludf.DUMMYFUNCTION("GOOGLETRANSLATE(A2141, ""en"", ""zh-CN"")"),"直到")</f>
        <v>直到</v>
      </c>
    </row>
    <row r="2142" ht="15.75" customHeight="1">
      <c r="A2142" s="3" t="s">
        <v>2167</v>
      </c>
      <c r="B2142" s="3" t="s">
        <v>8</v>
      </c>
      <c r="C2142" s="3" t="s">
        <v>16</v>
      </c>
      <c r="D2142" s="3" t="str">
        <f>IFERROR(__xludf.DUMMYFUNCTION("GOOGLETRANSLATE(A2142, ""en"", ""zh-CN"")"),"用户")</f>
        <v>用户</v>
      </c>
    </row>
    <row r="2143" ht="15.75" customHeight="1">
      <c r="A2143" s="3" t="s">
        <v>2168</v>
      </c>
      <c r="B2143" s="3" t="s">
        <v>22</v>
      </c>
      <c r="C2143" s="3" t="s">
        <v>9</v>
      </c>
      <c r="D2143" s="3" t="str">
        <f>IFERROR(__xludf.DUMMYFUNCTION("GOOGLETRANSLATE(A2143, ""en"", ""zh-CN"")"),"不公平")</f>
        <v>不公平</v>
      </c>
    </row>
    <row r="2144" ht="15.75" customHeight="1">
      <c r="A2144" s="3" t="s">
        <v>2169</v>
      </c>
      <c r="B2144" s="3" t="s">
        <v>22</v>
      </c>
      <c r="C2144" s="3" t="s">
        <v>16</v>
      </c>
      <c r="D2144" s="3" t="str">
        <f>IFERROR(__xludf.DUMMYFUNCTION("GOOGLETRANSLATE(A2144, ""en"", ""zh-CN"")"),"异常")</f>
        <v>异常</v>
      </c>
    </row>
    <row r="2145" ht="15.75" customHeight="1">
      <c r="A2145" s="3" t="s">
        <v>2170</v>
      </c>
      <c r="B2145" s="3" t="s">
        <v>22</v>
      </c>
      <c r="C2145" s="3" t="s">
        <v>16</v>
      </c>
      <c r="D2145" s="3" t="str">
        <f>IFERROR(__xludf.DUMMYFUNCTION("GOOGLETRANSLATE(A2145, ""en"", ""zh-CN"")"),"通常")</f>
        <v>通常</v>
      </c>
    </row>
    <row r="2146" ht="15.75" customHeight="1">
      <c r="A2146" s="3" t="s">
        <v>2171</v>
      </c>
      <c r="B2146" s="3" t="s">
        <v>20</v>
      </c>
      <c r="C2146" s="3" t="s">
        <v>16</v>
      </c>
      <c r="D2146" s="3" t="str">
        <f>IFERROR(__xludf.DUMMYFUNCTION("GOOGLETRANSLATE(A2146, ""en"", ""zh-CN"")"),"很遗憾")</f>
        <v>很遗憾</v>
      </c>
    </row>
    <row r="2147" ht="15.75" customHeight="1">
      <c r="A2147" s="3" t="s">
        <v>2172</v>
      </c>
      <c r="B2147" s="3" t="s">
        <v>20</v>
      </c>
      <c r="C2147" s="3" t="s">
        <v>6</v>
      </c>
      <c r="D2147" s="3" t="str">
        <f>IFERROR(__xludf.DUMMYFUNCTION("GOOGLETRANSLATE(A2147, ""en"", ""zh-CN"")"),"通常")</f>
        <v>通常</v>
      </c>
    </row>
    <row r="2148" ht="15.75" customHeight="1">
      <c r="A2148" s="3" t="s">
        <v>2173</v>
      </c>
      <c r="B2148" s="3" t="s">
        <v>8</v>
      </c>
      <c r="C2148" s="3" t="s">
        <v>6</v>
      </c>
      <c r="D2148" s="3" t="str">
        <f>IFERROR(__xludf.DUMMYFUNCTION("GOOGLETRANSLATE(A2148, ""en"", ""zh-CN"")"),"假期")</f>
        <v>假期</v>
      </c>
    </row>
    <row r="2149" ht="15.75" customHeight="1">
      <c r="A2149" s="3" t="s">
        <v>2174</v>
      </c>
      <c r="B2149" s="3" t="s">
        <v>8</v>
      </c>
      <c r="C2149" s="3" t="s">
        <v>9</v>
      </c>
      <c r="D2149" s="3" t="str">
        <f>IFERROR(__xludf.DUMMYFUNCTION("GOOGLETRANSLATE(A2149, ""en"", ""zh-CN"")"),"版本")</f>
        <v>版本</v>
      </c>
    </row>
    <row r="2150" ht="15.75" customHeight="1">
      <c r="A2150" s="3" t="s">
        <v>2175</v>
      </c>
      <c r="B2150" s="3" t="s">
        <v>8</v>
      </c>
      <c r="C2150" s="3" t="s">
        <v>16</v>
      </c>
      <c r="D2150" s="3" t="str">
        <f>IFERROR(__xludf.DUMMYFUNCTION("GOOGLETRANSLATE(A2150, ""en"", ""zh-CN"")"),"病毒")</f>
        <v>病毒</v>
      </c>
    </row>
    <row r="2151" ht="15.75" customHeight="1">
      <c r="A2151" s="3" t="s">
        <v>2176</v>
      </c>
      <c r="B2151" s="3" t="s">
        <v>8</v>
      </c>
      <c r="C2151" s="3" t="s">
        <v>16</v>
      </c>
      <c r="D2151" s="3" t="str">
        <f>IFERROR(__xludf.DUMMYFUNCTION("GOOGLETRANSLATE(A2151, ""en"", ""zh-CN"")"),"谷")</f>
        <v>谷</v>
      </c>
    </row>
    <row r="2152" ht="15.75" customHeight="1">
      <c r="A2152" s="3" t="s">
        <v>2177</v>
      </c>
      <c r="B2152" s="3" t="s">
        <v>8</v>
      </c>
      <c r="C2152" s="3" t="s">
        <v>13</v>
      </c>
      <c r="D2152" s="3" t="str">
        <f>IFERROR(__xludf.DUMMYFUNCTION("GOOGLETRANSLATE(A2152, ""en"", ""zh-CN"")"),"想象")</f>
        <v>想象</v>
      </c>
    </row>
    <row r="2153" ht="15.75" customHeight="1">
      <c r="A2153" s="3" t="s">
        <v>2178</v>
      </c>
      <c r="B2153" s="3" t="s">
        <v>22</v>
      </c>
      <c r="C2153" s="3" t="s">
        <v>9</v>
      </c>
      <c r="D2153" s="3" t="str">
        <f>IFERROR(__xludf.DUMMYFUNCTION("GOOGLETRANSLATE(A2153, ""en"", ""zh-CN"")"),"有价值的")</f>
        <v>有价值的</v>
      </c>
    </row>
    <row r="2154" ht="15.75" customHeight="1">
      <c r="A2154" s="3" t="s">
        <v>2179</v>
      </c>
      <c r="B2154" s="3" t="s">
        <v>88</v>
      </c>
      <c r="C2154" s="3" t="s">
        <v>13</v>
      </c>
      <c r="D2154" s="3" t="str">
        <f>IFERROR(__xludf.DUMMYFUNCTION("GOOGLETRANSLATE(A2154, ""en"", ""zh-CN"")"),"通过")</f>
        <v>通过</v>
      </c>
    </row>
    <row r="2155" ht="15.75" customHeight="1">
      <c r="A2155" s="3" t="s">
        <v>2180</v>
      </c>
      <c r="B2155" s="3" t="s">
        <v>8</v>
      </c>
      <c r="C2155" s="3" t="s">
        <v>9</v>
      </c>
      <c r="D2155" s="3" t="str">
        <f>IFERROR(__xludf.DUMMYFUNCTION("GOOGLETRANSLATE(A2155, ""en"", ""zh-CN"")"),"受害者")</f>
        <v>受害者</v>
      </c>
    </row>
    <row r="2156" ht="15.75" customHeight="1">
      <c r="A2156" s="3" t="s">
        <v>2181</v>
      </c>
      <c r="B2156" s="3" t="s">
        <v>8</v>
      </c>
      <c r="C2156" s="3" t="s">
        <v>6</v>
      </c>
      <c r="D2156" s="3" t="str">
        <f>IFERROR(__xludf.DUMMYFUNCTION("GOOGLETRANSLATE(A2156, ""en"", ""zh-CN"")"),"游客")</f>
        <v>游客</v>
      </c>
    </row>
    <row r="2157" ht="15.75" customHeight="1">
      <c r="A2157" s="3" t="s">
        <v>2182</v>
      </c>
      <c r="B2157" s="3" t="s">
        <v>8</v>
      </c>
      <c r="C2157" s="3" t="s">
        <v>16</v>
      </c>
      <c r="D2157" s="3" t="str">
        <f>IFERROR(__xludf.DUMMYFUNCTION("GOOGLETRANSLATE(A2157, ""en"", ""zh-CN"")"),"面包车")</f>
        <v>面包车</v>
      </c>
    </row>
    <row r="2158" ht="15.75" customHeight="1">
      <c r="A2158" s="3" t="s">
        <v>2183</v>
      </c>
      <c r="B2158" s="3" t="s">
        <v>8</v>
      </c>
      <c r="C2158" s="3" t="s">
        <v>13</v>
      </c>
      <c r="D2158" s="3" t="str">
        <f>IFERROR(__xludf.DUMMYFUNCTION("GOOGLETRANSLATE(A2158, ""en"", ""zh-CN"")"),"胜利")</f>
        <v>胜利</v>
      </c>
    </row>
    <row r="2159" ht="15.75" customHeight="1">
      <c r="A2159" s="3" t="s">
        <v>2184</v>
      </c>
      <c r="B2159" s="3" t="s">
        <v>22</v>
      </c>
      <c r="C2159" s="3" t="s">
        <v>13</v>
      </c>
      <c r="D2159" s="3" t="str">
        <f>IFERROR(__xludf.DUMMYFUNCTION("GOOGLETRANSLATE(A2159, ""en"", ""zh-CN"")"),"视觉的")</f>
        <v>视觉的</v>
      </c>
    </row>
    <row r="2160" ht="15.75" customHeight="1">
      <c r="A2160" s="3" t="s">
        <v>2185</v>
      </c>
      <c r="B2160" s="3" t="s">
        <v>8</v>
      </c>
      <c r="C2160" s="3" t="s">
        <v>16</v>
      </c>
      <c r="D2160" s="3" t="str">
        <f>IFERROR(__xludf.DUMMYFUNCTION("GOOGLETRANSLATE(A2160, ""en"", ""zh-CN"")"),"种类")</f>
        <v>种类</v>
      </c>
    </row>
    <row r="2161" ht="15.75" customHeight="1">
      <c r="A2161" s="3" t="s">
        <v>2186</v>
      </c>
      <c r="B2161" s="3" t="s">
        <v>8</v>
      </c>
      <c r="C2161" s="3" t="s">
        <v>6</v>
      </c>
      <c r="D2161" s="3" t="str">
        <f>IFERROR(__xludf.DUMMYFUNCTION("GOOGLETRANSLATE(A2161, ""en"", ""zh-CN"")"),"视频")</f>
        <v>视频</v>
      </c>
    </row>
    <row r="2162" ht="15.75" customHeight="1">
      <c r="A2162" s="3" t="s">
        <v>2187</v>
      </c>
      <c r="B2162" s="3" t="s">
        <v>22</v>
      </c>
      <c r="C2162" s="3" t="s">
        <v>13</v>
      </c>
      <c r="D2162" s="3" t="str">
        <f>IFERROR(__xludf.DUMMYFUNCTION("GOOGLETRANSLATE(A2162, ""en"", ""zh-CN"")"),"必不可少的")</f>
        <v>必不可少的</v>
      </c>
    </row>
    <row r="2163" ht="15.75" customHeight="1">
      <c r="A2163" s="3" t="s">
        <v>2188</v>
      </c>
      <c r="B2163" s="3" t="s">
        <v>22</v>
      </c>
      <c r="C2163" s="3" t="s">
        <v>9</v>
      </c>
      <c r="D2163" s="3" t="str">
        <f>IFERROR(__xludf.DUMMYFUNCTION("GOOGLETRANSLATE(A2163, ""en"", ""zh-CN"")"),"各种各样的")</f>
        <v>各种各样的</v>
      </c>
    </row>
    <row r="2164" ht="15.75" customHeight="1">
      <c r="A2164" s="3" t="s">
        <v>2189</v>
      </c>
      <c r="B2164" s="3" t="s">
        <v>8</v>
      </c>
      <c r="C2164" s="3" t="s">
        <v>13</v>
      </c>
      <c r="D2164" s="3" t="str">
        <f>IFERROR(__xludf.DUMMYFUNCTION("GOOGLETRANSLATE(A2164, ""en"", ""zh-CN"")"),"维他命")</f>
        <v>维他命</v>
      </c>
    </row>
    <row r="2165" ht="15.75" customHeight="1">
      <c r="A2165" s="3" t="s">
        <v>2190</v>
      </c>
      <c r="B2165" s="3" t="s">
        <v>12</v>
      </c>
      <c r="C2165" s="3" t="s">
        <v>13</v>
      </c>
      <c r="D2165" s="3" t="str">
        <f>IFERROR(__xludf.DUMMYFUNCTION("GOOGLETRANSLATE(A2165, ""en"", ""zh-CN"")"),"各不相同")</f>
        <v>各不相同</v>
      </c>
    </row>
    <row r="2166" ht="15.75" customHeight="1">
      <c r="A2166" s="3" t="s">
        <v>2191</v>
      </c>
      <c r="B2166" s="3" t="s">
        <v>8</v>
      </c>
      <c r="C2166" s="3" t="s">
        <v>9</v>
      </c>
      <c r="D2166" s="3" t="str">
        <f>IFERROR(__xludf.DUMMYFUNCTION("GOOGLETRANSLATE(A2166, ""en"", ""zh-CN"")"),"观众")</f>
        <v>观众</v>
      </c>
    </row>
    <row r="2167" ht="15.75" customHeight="1">
      <c r="A2167" s="3" t="s">
        <v>2192</v>
      </c>
      <c r="B2167" s="3" t="s">
        <v>8</v>
      </c>
      <c r="C2167" s="3" t="s">
        <v>16</v>
      </c>
      <c r="D2167" s="3" t="str">
        <f>IFERROR(__xludf.DUMMYFUNCTION("GOOGLETRANSLATE(A2167, ""en"", ""zh-CN"")"),"嗓音")</f>
        <v>嗓音</v>
      </c>
    </row>
    <row r="2168" ht="15.75" customHeight="1">
      <c r="A2168" s="3" t="s">
        <v>2193</v>
      </c>
      <c r="B2168" s="3" t="s">
        <v>22</v>
      </c>
      <c r="C2168" s="3" t="s">
        <v>13</v>
      </c>
      <c r="D2168" s="3" t="str">
        <f>IFERROR(__xludf.DUMMYFUNCTION("GOOGLETRANSLATE(A2168, ""en"", ""zh-CN"")"),"广阔的")</f>
        <v>广阔的</v>
      </c>
    </row>
    <row r="2169" ht="15.75" customHeight="1">
      <c r="A2169" s="3" t="s">
        <v>2194</v>
      </c>
      <c r="B2169" s="3" t="s">
        <v>8</v>
      </c>
      <c r="C2169" s="3" t="s">
        <v>6</v>
      </c>
      <c r="D2169" s="3" t="str">
        <f>IFERROR(__xludf.DUMMYFUNCTION("GOOGLETRANSLATE(A2169, ""en"", ""zh-CN"")"),"村庄")</f>
        <v>村庄</v>
      </c>
    </row>
    <row r="2170" ht="15.75" customHeight="1">
      <c r="A2170" s="3" t="s">
        <v>2195</v>
      </c>
      <c r="B2170" s="3" t="s">
        <v>8</v>
      </c>
      <c r="C2170" s="3" t="s">
        <v>13</v>
      </c>
      <c r="D2170" s="3" t="str">
        <f>IFERROR(__xludf.DUMMYFUNCTION("GOOGLETRANSLATE(A2170, ""en"", ""zh-CN"")"),"体积")</f>
        <v>体积</v>
      </c>
    </row>
    <row r="2171" ht="15.75" customHeight="1">
      <c r="A2171" s="3" t="s">
        <v>2196</v>
      </c>
      <c r="B2171" s="3" t="s">
        <v>8</v>
      </c>
      <c r="C2171" s="3" t="s">
        <v>6</v>
      </c>
      <c r="D2171" s="3" t="str">
        <f>IFERROR(__xludf.DUMMYFUNCTION("GOOGLETRANSLATE(A2171, ""en"", ""zh-CN"")"),"蔬菜")</f>
        <v>蔬菜</v>
      </c>
    </row>
    <row r="2172" ht="15.75" customHeight="1">
      <c r="A2172" s="3" t="s">
        <v>2197</v>
      </c>
      <c r="B2172" s="3" t="s">
        <v>8</v>
      </c>
      <c r="C2172" s="3" t="s">
        <v>13</v>
      </c>
      <c r="D2172" s="3" t="str">
        <f>IFERROR(__xludf.DUMMYFUNCTION("GOOGLETRANSLATE(A2172, ""en"", ""zh-CN"")"),"暴力")</f>
        <v>暴力</v>
      </c>
    </row>
    <row r="2173" ht="15.75" customHeight="1">
      <c r="A2173" s="3" t="s">
        <v>2198</v>
      </c>
      <c r="B2173" s="3" t="s">
        <v>8</v>
      </c>
      <c r="C2173" s="3" t="s">
        <v>16</v>
      </c>
      <c r="D2173" s="3" t="str">
        <f>IFERROR(__xludf.DUMMYFUNCTION("GOOGLETRANSLATE(A2173, ""en"", ""zh-CN"")"),"车辆")</f>
        <v>车辆</v>
      </c>
    </row>
    <row r="2174" ht="15.75" customHeight="1">
      <c r="A2174" s="3" t="s">
        <v>2199</v>
      </c>
      <c r="B2174" s="3" t="s">
        <v>22</v>
      </c>
      <c r="C2174" s="3" t="s">
        <v>9</v>
      </c>
      <c r="D2174" s="3" t="str">
        <f>IFERROR(__xludf.DUMMYFUNCTION("GOOGLETRANSLATE(A2174, ""en"", ""zh-CN"")"),"暴力")</f>
        <v>暴力</v>
      </c>
    </row>
    <row r="2175" ht="15.75" customHeight="1">
      <c r="A2175" s="3" t="s">
        <v>2200</v>
      </c>
      <c r="B2175" s="3" t="s">
        <v>8</v>
      </c>
      <c r="C2175" s="3" t="s">
        <v>13</v>
      </c>
      <c r="D2175" s="3" t="str">
        <f>IFERROR(__xludf.DUMMYFUNCTION("GOOGLETRANSLATE(A2175, ""en"", ""zh-CN"")"),"场地")</f>
        <v>场地</v>
      </c>
    </row>
    <row r="2176" ht="15.75" customHeight="1">
      <c r="A2176" s="3" t="s">
        <v>2201</v>
      </c>
      <c r="B2176" s="3" t="s">
        <v>22</v>
      </c>
      <c r="C2176" s="3" t="s">
        <v>13</v>
      </c>
      <c r="D2176" s="3" t="str">
        <f>IFERROR(__xludf.DUMMYFUNCTION("GOOGLETRANSLATE(A2176, ""en"", ""zh-CN"")"),"虚拟的")</f>
        <v>虚拟的</v>
      </c>
    </row>
    <row r="2177" ht="15.75" customHeight="1">
      <c r="A2177" s="3" t="s">
        <v>2202</v>
      </c>
      <c r="B2177" s="3" t="s">
        <v>8</v>
      </c>
      <c r="C2177" s="3" t="s">
        <v>13</v>
      </c>
      <c r="D2177" s="3" t="str">
        <f>IFERROR(__xludf.DUMMYFUNCTION("GOOGLETRANSLATE(A2177, ""en"", ""zh-CN"")"),"工资")</f>
        <v>工资</v>
      </c>
    </row>
    <row r="2178" ht="15.75" customHeight="1">
      <c r="A2178" s="3" t="s">
        <v>2203</v>
      </c>
      <c r="B2178" s="3" t="s">
        <v>8</v>
      </c>
      <c r="C2178" s="3" t="s">
        <v>16</v>
      </c>
      <c r="D2178" s="3" t="str">
        <f>IFERROR(__xludf.DUMMYFUNCTION("GOOGLETRANSLATE(A2178, ""en"", ""zh-CN"")"),"优胜者")</f>
        <v>优胜者</v>
      </c>
    </row>
    <row r="2179" ht="15.75" customHeight="1">
      <c r="A2179" s="3" t="s">
        <v>2204</v>
      </c>
      <c r="B2179" s="3" t="s">
        <v>8</v>
      </c>
      <c r="C2179" s="3" t="s">
        <v>6</v>
      </c>
      <c r="D2179" s="3" t="str">
        <f>IFERROR(__xludf.DUMMYFUNCTION("GOOGLETRANSLATE(A2179, ""en"", ""zh-CN"")"),"冬天")</f>
        <v>冬天</v>
      </c>
    </row>
    <row r="2180" ht="15.75" customHeight="1">
      <c r="A2180" s="3" t="s">
        <v>2205</v>
      </c>
      <c r="B2180" s="3" t="s">
        <v>8</v>
      </c>
      <c r="C2180" s="3" t="s">
        <v>6</v>
      </c>
      <c r="D2180" s="3" t="str">
        <f>IFERROR(__xludf.DUMMYFUNCTION("GOOGLETRANSLATE(A2180, ""en"", ""zh-CN"")"),"服务员")</f>
        <v>服务员</v>
      </c>
    </row>
    <row r="2181" ht="15.75" customHeight="1">
      <c r="A2181" s="3" t="s">
        <v>2206</v>
      </c>
      <c r="B2181" s="3" t="s">
        <v>22</v>
      </c>
      <c r="C2181" s="3" t="s">
        <v>9</v>
      </c>
      <c r="D2181" s="3" t="str">
        <f>IFERROR(__xludf.DUMMYFUNCTION("GOOGLETRANSLATE(A2181, ""en"", ""zh-CN"")"),"西")</f>
        <v>西</v>
      </c>
    </row>
    <row r="2182" ht="15.75" customHeight="1">
      <c r="A2182" s="3" t="s">
        <v>2207</v>
      </c>
      <c r="B2182" s="3" t="s">
        <v>8</v>
      </c>
      <c r="C2182" s="3" t="s">
        <v>13</v>
      </c>
      <c r="D2182" s="3" t="str">
        <f>IFERROR(__xludf.DUMMYFUNCTION("GOOGLETRANSLATE(A2182, ""en"", ""zh-CN"")"),"金属丝")</f>
        <v>金属丝</v>
      </c>
    </row>
    <row r="2183" ht="15.75" customHeight="1">
      <c r="A2183" s="3" t="s">
        <v>2208</v>
      </c>
      <c r="B2183" s="3" t="s">
        <v>12</v>
      </c>
      <c r="C2183" s="3" t="s">
        <v>6</v>
      </c>
      <c r="D2183" s="3" t="str">
        <f>IFERROR(__xludf.DUMMYFUNCTION("GOOGLETRANSLATE(A2183, ""en"", ""zh-CN"")"),"唤醒")</f>
        <v>唤醒</v>
      </c>
    </row>
    <row r="2184" ht="15.75" customHeight="1">
      <c r="A2184" s="3" t="s">
        <v>2209</v>
      </c>
      <c r="B2184" s="3" t="s">
        <v>22</v>
      </c>
      <c r="C2184" s="3" t="s">
        <v>16</v>
      </c>
      <c r="D2184" s="3" t="str">
        <f>IFERROR(__xludf.DUMMYFUNCTION("GOOGLETRANSLATE(A2184, ""en"", ""zh-CN"")"),"湿的")</f>
        <v>湿的</v>
      </c>
    </row>
    <row r="2185" ht="15.75" customHeight="1">
      <c r="A2185" s="3" t="s">
        <v>2210</v>
      </c>
      <c r="B2185" s="3" t="s">
        <v>22</v>
      </c>
      <c r="C2185" s="3" t="s">
        <v>13</v>
      </c>
      <c r="D2185" s="3" t="str">
        <f>IFERROR(__xludf.DUMMYFUNCTION("GOOGLETRANSLATE(A2185, ""en"", ""zh-CN"")"),"明智的")</f>
        <v>明智的</v>
      </c>
    </row>
    <row r="2186" ht="15.75" customHeight="1">
      <c r="A2186" s="3" t="s">
        <v>2211</v>
      </c>
      <c r="B2186" s="3" t="s">
        <v>2212</v>
      </c>
      <c r="C2186" s="3" t="s">
        <v>6</v>
      </c>
      <c r="D2186" s="3" t="str">
        <f>IFERROR(__xludf.DUMMYFUNCTION("GOOGLETRANSLATE(A2186, ""en"", ""zh-CN"")"),"什么")</f>
        <v>什么</v>
      </c>
    </row>
    <row r="2187" ht="15.75" customHeight="1">
      <c r="A2187" s="3" t="s">
        <v>2213</v>
      </c>
      <c r="B2187" s="3" t="s">
        <v>8</v>
      </c>
      <c r="C2187" s="3" t="s">
        <v>6</v>
      </c>
      <c r="D2187" s="3" t="str">
        <f>IFERROR(__xludf.DUMMYFUNCTION("GOOGLETRANSLATE(A2187, ""en"", ""zh-CN"")"),"墙")</f>
        <v>墙</v>
      </c>
    </row>
    <row r="2188" ht="15.75" customHeight="1">
      <c r="A2188" s="3" t="s">
        <v>2214</v>
      </c>
      <c r="B2188" s="3" t="s">
        <v>137</v>
      </c>
      <c r="C2188" s="3" t="s">
        <v>9</v>
      </c>
      <c r="D2188" s="3" t="str">
        <f>IFERROR(__xludf.DUMMYFUNCTION("GOOGLETRANSLATE(A2188, ""en"", ""zh-CN"")"),"任何")</f>
        <v>任何</v>
      </c>
    </row>
    <row r="2189" ht="15.75" customHeight="1">
      <c r="A2189" s="3" t="s">
        <v>2215</v>
      </c>
      <c r="B2189" s="3" t="s">
        <v>88</v>
      </c>
      <c r="C2189" s="3" t="s">
        <v>6</v>
      </c>
      <c r="D2189" s="3" t="str">
        <f>IFERROR(__xludf.DUMMYFUNCTION("GOOGLETRANSLATE(A2189, ""en"", ""zh-CN"")"),"和")</f>
        <v>和</v>
      </c>
    </row>
    <row r="2190" ht="15.75" customHeight="1">
      <c r="A2190" s="3" t="s">
        <v>2216</v>
      </c>
      <c r="B2190" s="3" t="s">
        <v>12</v>
      </c>
      <c r="C2190" s="3" t="s">
        <v>6</v>
      </c>
      <c r="D2190" s="3" t="str">
        <f>IFERROR(__xludf.DUMMYFUNCTION("GOOGLETRANSLATE(A2190, ""en"", ""zh-CN"")"),"想")</f>
        <v>想</v>
      </c>
    </row>
    <row r="2191" ht="15.75" customHeight="1">
      <c r="A2191" s="3" t="s">
        <v>2217</v>
      </c>
      <c r="B2191" s="3" t="s">
        <v>8</v>
      </c>
      <c r="C2191" s="3" t="s">
        <v>16</v>
      </c>
      <c r="D2191" s="3" t="str">
        <f>IFERROR(__xludf.DUMMYFUNCTION("GOOGLETRANSLATE(A2191, ""en"", ""zh-CN"")"),"车轮")</f>
        <v>车轮</v>
      </c>
    </row>
    <row r="2192" ht="15.75" customHeight="1">
      <c r="A2192" s="3" t="s">
        <v>2218</v>
      </c>
      <c r="B2192" s="3" t="s">
        <v>88</v>
      </c>
      <c r="C2192" s="3" t="s">
        <v>9</v>
      </c>
      <c r="D2192" s="3" t="str">
        <f>IFERROR(__xludf.DUMMYFUNCTION("GOOGLETRANSLATE(A2192, ""en"", ""zh-CN"")"),"之内")</f>
        <v>之内</v>
      </c>
    </row>
    <row r="2193" ht="15.75" customHeight="1">
      <c r="A2193" s="3" t="s">
        <v>2219</v>
      </c>
      <c r="B2193" s="3" t="s">
        <v>8</v>
      </c>
      <c r="C2193" s="3" t="s">
        <v>16</v>
      </c>
      <c r="D2193" s="3" t="str">
        <f>IFERROR(__xludf.DUMMYFUNCTION("GOOGLETRANSLATE(A2193, ""en"", ""zh-CN"")"),"战争")</f>
        <v>战争</v>
      </c>
    </row>
    <row r="2194" ht="15.75" customHeight="1">
      <c r="A2194" s="3" t="s">
        <v>2220</v>
      </c>
      <c r="B2194" s="3" t="s">
        <v>88</v>
      </c>
      <c r="C2194" s="3" t="s">
        <v>6</v>
      </c>
      <c r="D2194" s="3" t="str">
        <f>IFERROR(__xludf.DUMMYFUNCTION("GOOGLETRANSLATE(A2194, ""en"", ""zh-CN"")"),"没有")</f>
        <v>没有</v>
      </c>
    </row>
    <row r="2195" ht="15.75" customHeight="1">
      <c r="A2195" s="3" t="s">
        <v>2221</v>
      </c>
      <c r="B2195" s="3" t="s">
        <v>72</v>
      </c>
      <c r="C2195" s="3" t="s">
        <v>9</v>
      </c>
      <c r="D2195" s="3" t="str">
        <f>IFERROR(__xludf.DUMMYFUNCTION("GOOGLETRANSLATE(A2195, ""en"", ""zh-CN"")"),"每当")</f>
        <v>每当</v>
      </c>
    </row>
    <row r="2196" ht="15.75" customHeight="1">
      <c r="A2196" s="3" t="s">
        <v>2222</v>
      </c>
      <c r="B2196" s="3" t="s">
        <v>12</v>
      </c>
      <c r="C2196" s="3" t="s">
        <v>9</v>
      </c>
      <c r="D2196" s="3" t="str">
        <f>IFERROR(__xludf.DUMMYFUNCTION("GOOGLETRANSLATE(A2196, ""en"", ""zh-CN"")"),"警告")</f>
        <v>警告</v>
      </c>
    </row>
    <row r="2197" ht="15.75" customHeight="1">
      <c r="A2197" s="3" t="s">
        <v>2223</v>
      </c>
      <c r="B2197" s="3" t="s">
        <v>8</v>
      </c>
      <c r="C2197" s="3" t="s">
        <v>6</v>
      </c>
      <c r="D2197" s="3" t="str">
        <f>IFERROR(__xludf.DUMMYFUNCTION("GOOGLETRANSLATE(A2197, ""en"", ""zh-CN"")"),"女士")</f>
        <v>女士</v>
      </c>
    </row>
    <row r="2198" ht="15.75" customHeight="1">
      <c r="A2198" s="3" t="s">
        <v>2224</v>
      </c>
      <c r="B2198" s="3" t="s">
        <v>8</v>
      </c>
      <c r="C2198" s="3" t="s">
        <v>9</v>
      </c>
      <c r="D2198" s="3" t="str">
        <f>IFERROR(__xludf.DUMMYFUNCTION("GOOGLETRANSLATE(A2198, ""en"", ""zh-CN"")"),"警告")</f>
        <v>警告</v>
      </c>
    </row>
    <row r="2199" ht="15.75" customHeight="1">
      <c r="A2199" s="3" t="s">
        <v>2225</v>
      </c>
      <c r="B2199" s="3" t="s">
        <v>72</v>
      </c>
      <c r="C2199" s="3" t="s">
        <v>13</v>
      </c>
      <c r="D2199" s="3" t="str">
        <f>IFERROR(__xludf.DUMMYFUNCTION("GOOGLETRANSLATE(A2199, ""en"", ""zh-CN"")"),"然而")</f>
        <v>然而</v>
      </c>
    </row>
    <row r="2200" ht="15.75" customHeight="1">
      <c r="A2200" s="3" t="s">
        <v>2226</v>
      </c>
      <c r="B2200" s="3" t="s">
        <v>72</v>
      </c>
      <c r="C2200" s="3" t="s">
        <v>13</v>
      </c>
      <c r="D2200" s="3" t="str">
        <f>IFERROR(__xludf.DUMMYFUNCTION("GOOGLETRANSLATE(A2200, ""en"", ""zh-CN"")"),"无论何处")</f>
        <v>无论何处</v>
      </c>
    </row>
    <row r="2201" ht="15.75" customHeight="1">
      <c r="A2201" s="3" t="s">
        <v>2227</v>
      </c>
      <c r="B2201" s="3" t="s">
        <v>22</v>
      </c>
      <c r="C2201" s="3" t="s">
        <v>6</v>
      </c>
      <c r="D2201" s="3" t="str">
        <f>IFERROR(__xludf.DUMMYFUNCTION("GOOGLETRANSLATE(A2201, ""en"", ""zh-CN"")"),"精彩的")</f>
        <v>精彩的</v>
      </c>
    </row>
    <row r="2202" ht="15.75" customHeight="1">
      <c r="A2202" s="3" t="s">
        <v>2228</v>
      </c>
      <c r="B2202" s="3" t="s">
        <v>8</v>
      </c>
      <c r="C2202" s="3" t="s">
        <v>16</v>
      </c>
      <c r="D2202" s="3" t="str">
        <f>IFERROR(__xludf.DUMMYFUNCTION("GOOGLETRANSLATE(A2202, ""en"", ""zh-CN"")"),"洗涤")</f>
        <v>洗涤</v>
      </c>
    </row>
    <row r="2203" ht="15.75" customHeight="1">
      <c r="A2203" s="3" t="s">
        <v>2229</v>
      </c>
      <c r="B2203" s="3" t="s">
        <v>72</v>
      </c>
      <c r="C2203" s="3" t="s">
        <v>9</v>
      </c>
      <c r="D2203" s="3" t="str">
        <f>IFERROR(__xludf.DUMMYFUNCTION("GOOGLETRANSLATE(A2203, ""en"", ""zh-CN"")"),"无论")</f>
        <v>无论</v>
      </c>
    </row>
    <row r="2204" ht="15.75" customHeight="1">
      <c r="A2204" s="3" t="s">
        <v>2230</v>
      </c>
      <c r="B2204" s="3" t="s">
        <v>8</v>
      </c>
      <c r="C2204" s="3" t="s">
        <v>16</v>
      </c>
      <c r="D2204" s="3" t="str">
        <f>IFERROR(__xludf.DUMMYFUNCTION("GOOGLETRANSLATE(A2204, ""en"", ""zh-CN"")"),"木头")</f>
        <v>木头</v>
      </c>
    </row>
    <row r="2205" ht="15.75" customHeight="1">
      <c r="A2205" s="3" t="s">
        <v>2231</v>
      </c>
      <c r="B2205" s="3" t="s">
        <v>2212</v>
      </c>
      <c r="C2205" s="3" t="s">
        <v>6</v>
      </c>
      <c r="D2205" s="3" t="str">
        <f>IFERROR(__xludf.DUMMYFUNCTION("GOOGLETRANSLATE(A2205, ""en"", ""zh-CN"")"),"哪个")</f>
        <v>哪个</v>
      </c>
    </row>
    <row r="2206" ht="15.75" customHeight="1">
      <c r="A2206" s="3" t="s">
        <v>2232</v>
      </c>
      <c r="B2206" s="3" t="s">
        <v>22</v>
      </c>
      <c r="C2206" s="3" t="s">
        <v>16</v>
      </c>
      <c r="D2206" s="3" t="str">
        <f>IFERROR(__xludf.DUMMYFUNCTION("GOOGLETRANSLATE(A2206, ""en"", ""zh-CN"")"),"木制的")</f>
        <v>木制的</v>
      </c>
    </row>
    <row r="2207" ht="15.75" customHeight="1">
      <c r="A2207" s="3" t="s">
        <v>2233</v>
      </c>
      <c r="B2207" s="3" t="s">
        <v>8</v>
      </c>
      <c r="C2207" s="3" t="s">
        <v>9</v>
      </c>
      <c r="D2207" s="3" t="str">
        <f>IFERROR(__xludf.DUMMYFUNCTION("GOOGLETRANSLATE(A2207, ""en"", ""zh-CN"")"),"羊毛")</f>
        <v>羊毛</v>
      </c>
    </row>
    <row r="2208" ht="15.75" customHeight="1">
      <c r="A2208" s="3" t="s">
        <v>2234</v>
      </c>
      <c r="B2208" s="3" t="s">
        <v>8</v>
      </c>
      <c r="C2208" s="3" t="s">
        <v>6</v>
      </c>
      <c r="D2208" s="3" t="str">
        <f>IFERROR(__xludf.DUMMYFUNCTION("GOOGLETRANSLATE(A2208, ""en"", ""zh-CN"")"),"单词")</f>
        <v>单词</v>
      </c>
    </row>
    <row r="2209" ht="15.75" customHeight="1">
      <c r="A2209" s="3" t="s">
        <v>2235</v>
      </c>
      <c r="B2209" s="3" t="s">
        <v>146</v>
      </c>
      <c r="C2209" s="3" t="s">
        <v>6</v>
      </c>
      <c r="D2209" s="3" t="str">
        <f>IFERROR(__xludf.DUMMYFUNCTION("GOOGLETRANSLATE(A2209, ""en"", ""zh-CN"")"),"WHO")</f>
        <v>WHO</v>
      </c>
    </row>
    <row r="2210" ht="15.75" customHeight="1">
      <c r="A2210" s="3" t="s">
        <v>2236</v>
      </c>
      <c r="B2210" s="3" t="s">
        <v>8</v>
      </c>
      <c r="C2210" s="3" t="s">
        <v>6</v>
      </c>
      <c r="D2210" s="3" t="str">
        <f>IFERROR(__xludf.DUMMYFUNCTION("GOOGLETRANSLATE(A2210, ""en"", ""zh-CN"")"),"工人")</f>
        <v>工人</v>
      </c>
    </row>
    <row r="2211" ht="15.75" customHeight="1">
      <c r="A2211" s="3" t="s">
        <v>2237</v>
      </c>
      <c r="B2211" s="3" t="s">
        <v>146</v>
      </c>
      <c r="C2211" s="3" t="s">
        <v>6</v>
      </c>
      <c r="D2211" s="3" t="str">
        <f>IFERROR(__xludf.DUMMYFUNCTION("GOOGLETRANSLATE(A2211, ""en"", ""zh-CN"")"),"我们")</f>
        <v>我们</v>
      </c>
    </row>
    <row r="2212" ht="15.75" customHeight="1">
      <c r="A2212" s="3" t="s">
        <v>2238</v>
      </c>
      <c r="B2212" s="3" t="s">
        <v>22</v>
      </c>
      <c r="C2212" s="3" t="s">
        <v>16</v>
      </c>
      <c r="D2212" s="3" t="str">
        <f>IFERROR(__xludf.DUMMYFUNCTION("GOOGLETRANSLATE(A2212, ""en"", ""zh-CN"")"),"在职的")</f>
        <v>在职的</v>
      </c>
    </row>
    <row r="2213" ht="15.75" customHeight="1">
      <c r="A2213" s="3" t="s">
        <v>2239</v>
      </c>
      <c r="B2213" s="3" t="s">
        <v>22</v>
      </c>
      <c r="C2213" s="3" t="s">
        <v>16</v>
      </c>
      <c r="D2213" s="3" t="str">
        <f>IFERROR(__xludf.DUMMYFUNCTION("GOOGLETRANSLATE(A2213, ""en"", ""zh-CN"")"),"虚弱的")</f>
        <v>虚弱的</v>
      </c>
    </row>
    <row r="2214" ht="15.75" customHeight="1">
      <c r="A2214" s="3" t="s">
        <v>2240</v>
      </c>
      <c r="B2214" s="3" t="s">
        <v>146</v>
      </c>
      <c r="C2214" s="3" t="s">
        <v>13</v>
      </c>
      <c r="D2214" s="3" t="str">
        <f>IFERROR(__xludf.DUMMYFUNCTION("GOOGLETRANSLATE(A2214, ""en"", ""zh-CN"")"),"谁")</f>
        <v>谁</v>
      </c>
    </row>
    <row r="2215" ht="15.75" customHeight="1">
      <c r="A2215" s="3" t="s">
        <v>2241</v>
      </c>
      <c r="B2215" s="3" t="s">
        <v>8</v>
      </c>
      <c r="C2215" s="3" t="s">
        <v>6</v>
      </c>
      <c r="D2215" s="3" t="str">
        <f>IFERROR(__xludf.DUMMYFUNCTION("GOOGLETRANSLATE(A2215, ""en"", ""zh-CN"")"),"世界")</f>
        <v>世界</v>
      </c>
    </row>
    <row r="2216" ht="15.75" customHeight="1">
      <c r="A2216" s="3" t="s">
        <v>2242</v>
      </c>
      <c r="B2216" s="3" t="s">
        <v>8</v>
      </c>
      <c r="C2216" s="3" t="s">
        <v>13</v>
      </c>
      <c r="D2216" s="3" t="str">
        <f>IFERROR(__xludf.DUMMYFUNCTION("GOOGLETRANSLATE(A2216, ""en"", ""zh-CN"")"),"弱点")</f>
        <v>弱点</v>
      </c>
    </row>
    <row r="2217" ht="15.75" customHeight="1">
      <c r="A2217" s="3" t="s">
        <v>2243</v>
      </c>
      <c r="B2217" s="3" t="s">
        <v>137</v>
      </c>
      <c r="C2217" s="3" t="s">
        <v>16</v>
      </c>
      <c r="D2217" s="3" t="str">
        <f>IFERROR(__xludf.DUMMYFUNCTION("GOOGLETRANSLATE(A2217, ""en"", ""zh-CN"")"),"谁的")</f>
        <v>谁的</v>
      </c>
    </row>
    <row r="2218" ht="15.75" customHeight="1">
      <c r="A2218" s="3" t="s">
        <v>2244</v>
      </c>
      <c r="B2218" s="3" t="s">
        <v>8</v>
      </c>
      <c r="C2218" s="3" t="s">
        <v>13</v>
      </c>
      <c r="D2218" s="3" t="str">
        <f>IFERROR(__xludf.DUMMYFUNCTION("GOOGLETRANSLATE(A2218, ""en"", ""zh-CN"")"),"财富")</f>
        <v>财富</v>
      </c>
    </row>
    <row r="2219" ht="15.75" customHeight="1">
      <c r="A2219" s="3" t="s">
        <v>2245</v>
      </c>
      <c r="B2219" s="3" t="s">
        <v>20</v>
      </c>
      <c r="C2219" s="3" t="s">
        <v>6</v>
      </c>
      <c r="D2219" s="3" t="str">
        <f>IFERROR(__xludf.DUMMYFUNCTION("GOOGLETRANSLATE(A2219, ""en"", ""zh-CN"")"),"为什么")</f>
        <v>为什么</v>
      </c>
    </row>
    <row r="2220" ht="15.75" customHeight="1">
      <c r="A2220" s="3" t="s">
        <v>2246</v>
      </c>
      <c r="B2220" s="3" t="s">
        <v>22</v>
      </c>
      <c r="C2220" s="3" t="s">
        <v>16</v>
      </c>
      <c r="D2220" s="3" t="str">
        <f>IFERROR(__xludf.DUMMYFUNCTION("GOOGLETRANSLATE(A2220, ""en"", ""zh-CN"")"),"担心")</f>
        <v>担心</v>
      </c>
    </row>
    <row r="2221" ht="15.75" customHeight="1">
      <c r="A2221" s="3" t="s">
        <v>2247</v>
      </c>
      <c r="B2221" s="3" t="s">
        <v>22</v>
      </c>
      <c r="C2221" s="3" t="s">
        <v>13</v>
      </c>
      <c r="D2221" s="3" t="str">
        <f>IFERROR(__xludf.DUMMYFUNCTION("GOOGLETRANSLATE(A2221, ""en"", ""zh-CN"")"),"富裕")</f>
        <v>富裕</v>
      </c>
    </row>
    <row r="2222" ht="15.75" customHeight="1">
      <c r="A2222" s="3" t="s">
        <v>2248</v>
      </c>
      <c r="B2222" s="3" t="s">
        <v>22</v>
      </c>
      <c r="C2222" s="3" t="s">
        <v>16</v>
      </c>
      <c r="D2222" s="3" t="str">
        <f>IFERROR(__xludf.DUMMYFUNCTION("GOOGLETRANSLATE(A2222, ""en"", ""zh-CN"")"),"宽的")</f>
        <v>宽的</v>
      </c>
    </row>
    <row r="2223" ht="15.75" customHeight="1">
      <c r="A2223" s="3" t="s">
        <v>2249</v>
      </c>
      <c r="B2223" s="3" t="s">
        <v>8</v>
      </c>
      <c r="C2223" s="3" t="s">
        <v>9</v>
      </c>
      <c r="D2223" s="3" t="str">
        <f>IFERROR(__xludf.DUMMYFUNCTION("GOOGLETRANSLATE(A2223, ""en"", ""zh-CN"")"),"武器")</f>
        <v>武器</v>
      </c>
    </row>
    <row r="2224" ht="15.75" customHeight="1">
      <c r="A2224" s="3" t="s">
        <v>2250</v>
      </c>
      <c r="B2224" s="3" t="s">
        <v>20</v>
      </c>
      <c r="C2224" s="3" t="s">
        <v>13</v>
      </c>
      <c r="D2224" s="3" t="str">
        <f>IFERROR(__xludf.DUMMYFUNCTION("GOOGLETRANSLATE(A2224, ""en"", ""zh-CN"")"),"广泛")</f>
        <v>广泛</v>
      </c>
    </row>
    <row r="2225" ht="15.75" customHeight="1">
      <c r="A2225" s="3" t="s">
        <v>2251</v>
      </c>
      <c r="B2225" s="3" t="s">
        <v>12</v>
      </c>
      <c r="C2225" s="3" t="s">
        <v>6</v>
      </c>
      <c r="D2225" s="3" t="str">
        <f>IFERROR(__xludf.DUMMYFUNCTION("GOOGLETRANSLATE(A2225, ""en"", ""zh-CN"")"),"穿")</f>
        <v>穿</v>
      </c>
    </row>
    <row r="2226" ht="15.75" customHeight="1">
      <c r="A2226" s="3" t="s">
        <v>2252</v>
      </c>
      <c r="B2226" s="3" t="s">
        <v>8</v>
      </c>
      <c r="C2226" s="3" t="s">
        <v>6</v>
      </c>
      <c r="D2226" s="3" t="str">
        <f>IFERROR(__xludf.DUMMYFUNCTION("GOOGLETRANSLATE(A2226, ""en"", ""zh-CN"")"),"妻子")</f>
        <v>妻子</v>
      </c>
    </row>
    <row r="2227" ht="15.75" customHeight="1">
      <c r="A2227" s="3" t="s">
        <v>2253</v>
      </c>
      <c r="B2227" s="3" t="s">
        <v>8</v>
      </c>
      <c r="C2227" s="3" t="s">
        <v>6</v>
      </c>
      <c r="D2227" s="3" t="str">
        <f>IFERROR(__xludf.DUMMYFUNCTION("GOOGLETRANSLATE(A2227, ""en"", ""zh-CN"")"),"天气")</f>
        <v>天气</v>
      </c>
    </row>
    <row r="2228" ht="15.75" customHeight="1">
      <c r="A2228" s="3" t="s">
        <v>2254</v>
      </c>
      <c r="B2228" s="3" t="s">
        <v>22</v>
      </c>
      <c r="C2228" s="3" t="s">
        <v>16</v>
      </c>
      <c r="D2228" s="3" t="str">
        <f>IFERROR(__xludf.DUMMYFUNCTION("GOOGLETRANSLATE(A2228, ""en"", ""zh-CN"")"),"荒野")</f>
        <v>荒野</v>
      </c>
    </row>
    <row r="2229" ht="15.75" customHeight="1">
      <c r="A2229" s="3" t="s">
        <v>2255</v>
      </c>
      <c r="B2229" s="3" t="s">
        <v>8</v>
      </c>
      <c r="C2229" s="3" t="s">
        <v>16</v>
      </c>
      <c r="D2229" s="3" t="str">
        <f>IFERROR(__xludf.DUMMYFUNCTION("GOOGLETRANSLATE(A2229, ""en"", ""zh-CN"")"),"网络")</f>
        <v>网络</v>
      </c>
    </row>
    <row r="2230" ht="15.75" customHeight="1">
      <c r="A2230" s="3" t="s">
        <v>2256</v>
      </c>
      <c r="B2230" s="3" t="s">
        <v>8</v>
      </c>
      <c r="C2230" s="3" t="s">
        <v>13</v>
      </c>
      <c r="D2230" s="3" t="str">
        <f>IFERROR(__xludf.DUMMYFUNCTION("GOOGLETRANSLATE(A2230, ""en"", ""zh-CN"")"),"野生动植物")</f>
        <v>野生动植物</v>
      </c>
    </row>
    <row r="2231" ht="15.75" customHeight="1">
      <c r="A2231" s="3" t="s">
        <v>2257</v>
      </c>
      <c r="B2231" s="3" t="s">
        <v>8</v>
      </c>
      <c r="C2231" s="3" t="s">
        <v>6</v>
      </c>
      <c r="D2231" s="3" t="str">
        <f>IFERROR(__xludf.DUMMYFUNCTION("GOOGLETRANSLATE(A2231, ""en"", ""zh-CN"")"),"网站")</f>
        <v>网站</v>
      </c>
    </row>
    <row r="2232" ht="15.75" customHeight="1">
      <c r="A2232" s="3" t="s">
        <v>2258</v>
      </c>
      <c r="B2232" s="3" t="s">
        <v>8</v>
      </c>
      <c r="C2232" s="3" t="s">
        <v>16</v>
      </c>
      <c r="D2232" s="3" t="str">
        <f>IFERROR(__xludf.DUMMYFUNCTION("GOOGLETRANSLATE(A2232, ""en"", ""zh-CN"")"),"婚礼")</f>
        <v>婚礼</v>
      </c>
    </row>
    <row r="2233" ht="15.75" customHeight="1">
      <c r="A2233" s="3" t="s">
        <v>2259</v>
      </c>
      <c r="B2233" s="3" t="s">
        <v>22</v>
      </c>
      <c r="C2233" s="3" t="s">
        <v>13</v>
      </c>
      <c r="D2233" s="3" t="str">
        <f>IFERROR(__xludf.DUMMYFUNCTION("GOOGLETRANSLATE(A2233, ""en"", ""zh-CN"")"),"愿意的")</f>
        <v>愿意的</v>
      </c>
    </row>
    <row r="2234" ht="15.75" customHeight="1">
      <c r="A2234" s="3" t="s">
        <v>2260</v>
      </c>
      <c r="B2234" s="3" t="s">
        <v>15</v>
      </c>
      <c r="C2234" s="3" t="s">
        <v>16</v>
      </c>
      <c r="D2234" s="3" t="str">
        <f>IFERROR(__xludf.DUMMYFUNCTION("GOOGLETRANSLATE(A2234, ""en"", ""zh-CN"")"),"哇")</f>
        <v>哇</v>
      </c>
    </row>
    <row r="2235" ht="15.75" customHeight="1">
      <c r="A2235" s="3" t="s">
        <v>2261</v>
      </c>
      <c r="B2235" s="3" t="s">
        <v>8</v>
      </c>
      <c r="C2235" s="3" t="s">
        <v>6</v>
      </c>
      <c r="D2235" s="3" t="str">
        <f>IFERROR(__xludf.DUMMYFUNCTION("GOOGLETRANSLATE(A2235, ""en"", ""zh-CN"")"),"周三")</f>
        <v>周三</v>
      </c>
    </row>
    <row r="2236" ht="15.75" customHeight="1">
      <c r="A2236" s="3" t="s">
        <v>2262</v>
      </c>
      <c r="B2236" s="3" t="s">
        <v>12</v>
      </c>
      <c r="C2236" s="3" t="s">
        <v>13</v>
      </c>
      <c r="D2236" s="3" t="str">
        <f>IFERROR(__xludf.DUMMYFUNCTION("GOOGLETRANSLATE(A2236, ""en"", ""zh-CN"")"),"裹")</f>
        <v>裹</v>
      </c>
    </row>
    <row r="2237" ht="15.75" customHeight="1">
      <c r="A2237" s="3" t="s">
        <v>2263</v>
      </c>
      <c r="B2237" s="3" t="s">
        <v>8</v>
      </c>
      <c r="C2237" s="3" t="s">
        <v>6</v>
      </c>
      <c r="D2237" s="3" t="str">
        <f>IFERROR(__xludf.DUMMYFUNCTION("GOOGLETRANSLATE(A2237, ""en"", ""zh-CN"")"),"星期")</f>
        <v>星期</v>
      </c>
    </row>
    <row r="2238" ht="15.75" customHeight="1">
      <c r="A2238" s="3" t="s">
        <v>2264</v>
      </c>
      <c r="B2238" s="3" t="s">
        <v>8</v>
      </c>
      <c r="C2238" s="3" t="s">
        <v>16</v>
      </c>
      <c r="D2238" s="3" t="str">
        <f>IFERROR(__xludf.DUMMYFUNCTION("GOOGLETRANSLATE(A2238, ""en"", ""zh-CN"")"),"Wind1")</f>
        <v>Wind1</v>
      </c>
    </row>
    <row r="2239" ht="15.75" customHeight="1">
      <c r="A2239" s="3" t="s">
        <v>2265</v>
      </c>
      <c r="B2239" s="3" t="s">
        <v>12</v>
      </c>
      <c r="C2239" s="3" t="s">
        <v>6</v>
      </c>
      <c r="D2239" s="3" t="str">
        <f>IFERROR(__xludf.DUMMYFUNCTION("GOOGLETRANSLATE(A2239, ""en"", ""zh-CN"")"),"写")</f>
        <v>写</v>
      </c>
    </row>
    <row r="2240" ht="15.75" customHeight="1">
      <c r="A2240" s="3" t="s">
        <v>2266</v>
      </c>
      <c r="B2240" s="3" t="s">
        <v>8</v>
      </c>
      <c r="C2240" s="3" t="s">
        <v>6</v>
      </c>
      <c r="D2240" s="3" t="str">
        <f>IFERROR(__xludf.DUMMYFUNCTION("GOOGLETRANSLATE(A2240, ""en"", ""zh-CN"")"),"周末")</f>
        <v>周末</v>
      </c>
    </row>
    <row r="2241" ht="15.75" customHeight="1">
      <c r="A2241" s="3" t="s">
        <v>2267</v>
      </c>
      <c r="B2241" s="3" t="s">
        <v>12</v>
      </c>
      <c r="C2241" s="3" t="s">
        <v>13</v>
      </c>
      <c r="D2241" s="3" t="str">
        <f>IFERROR(__xludf.DUMMYFUNCTION("GOOGLETRANSLATE(A2241, ""en"", ""zh-CN"")"),"Wind2")</f>
        <v>Wind2</v>
      </c>
    </row>
    <row r="2242" ht="15.75" customHeight="1">
      <c r="A2242" s="3" t="s">
        <v>2268</v>
      </c>
      <c r="B2242" s="3" t="s">
        <v>8</v>
      </c>
      <c r="C2242" s="3" t="s">
        <v>6</v>
      </c>
      <c r="D2242" s="3" t="str">
        <f>IFERROR(__xludf.DUMMYFUNCTION("GOOGLETRANSLATE(A2242, ""en"", ""zh-CN"")"),"作家")</f>
        <v>作家</v>
      </c>
    </row>
    <row r="2243" ht="15.75" customHeight="1">
      <c r="A2243" s="3" t="s">
        <v>2269</v>
      </c>
      <c r="B2243" s="3" t="s">
        <v>12</v>
      </c>
      <c r="C2243" s="3" t="s">
        <v>9</v>
      </c>
      <c r="D2243" s="3" t="str">
        <f>IFERROR(__xludf.DUMMYFUNCTION("GOOGLETRANSLATE(A2243, ""en"", ""zh-CN"")"),"称重")</f>
        <v>称重</v>
      </c>
    </row>
    <row r="2244" ht="15.75" customHeight="1">
      <c r="A2244" s="3" t="s">
        <v>2270</v>
      </c>
      <c r="B2244" s="3" t="s">
        <v>8</v>
      </c>
      <c r="C2244" s="3" t="s">
        <v>6</v>
      </c>
      <c r="D2244" s="3" t="str">
        <f>IFERROR(__xludf.DUMMYFUNCTION("GOOGLETRANSLATE(A2244, ""en"", ""zh-CN"")"),"窗户")</f>
        <v>窗户</v>
      </c>
    </row>
    <row r="2245" ht="15.75" customHeight="1">
      <c r="A2245" s="3" t="s">
        <v>2271</v>
      </c>
      <c r="B2245" s="3" t="s">
        <v>8</v>
      </c>
      <c r="C2245" s="3" t="s">
        <v>6</v>
      </c>
      <c r="D2245" s="3" t="str">
        <f>IFERROR(__xludf.DUMMYFUNCTION("GOOGLETRANSLATE(A2245, ""en"", ""zh-CN"")"),"写作")</f>
        <v>写作</v>
      </c>
    </row>
    <row r="2246" ht="15.75" customHeight="1">
      <c r="A2246" s="3" t="s">
        <v>2272</v>
      </c>
      <c r="B2246" s="3" t="s">
        <v>8</v>
      </c>
      <c r="C2246" s="3" t="s">
        <v>16</v>
      </c>
      <c r="D2246" s="3" t="str">
        <f>IFERROR(__xludf.DUMMYFUNCTION("GOOGLETRANSLATE(A2246, ""en"", ""zh-CN"")"),"重量")</f>
        <v>重量</v>
      </c>
    </row>
    <row r="2247" ht="15.75" customHeight="1">
      <c r="A2247" s="3" t="s">
        <v>2273</v>
      </c>
      <c r="B2247" s="3" t="s">
        <v>8</v>
      </c>
      <c r="C2247" s="3" t="s">
        <v>6</v>
      </c>
      <c r="D2247" s="3" t="str">
        <f>IFERROR(__xludf.DUMMYFUNCTION("GOOGLETRANSLATE(A2247, ""en"", ""zh-CN"")"),"葡萄酒")</f>
        <v>葡萄酒</v>
      </c>
    </row>
    <row r="2248" ht="15.75" customHeight="1">
      <c r="A2248" s="3" t="s">
        <v>2274</v>
      </c>
      <c r="B2248" s="3" t="s">
        <v>22</v>
      </c>
      <c r="C2248" s="3" t="s">
        <v>9</v>
      </c>
      <c r="D2248" s="3" t="str">
        <f>IFERROR(__xludf.DUMMYFUNCTION("GOOGLETRANSLATE(A2248, ""en"", ""zh-CN"")"),"书面")</f>
        <v>书面</v>
      </c>
    </row>
    <row r="2249" ht="15.75" customHeight="1">
      <c r="A2249" s="3" t="s">
        <v>2275</v>
      </c>
      <c r="B2249" s="3" t="s">
        <v>8</v>
      </c>
      <c r="C2249" s="3" t="s">
        <v>9</v>
      </c>
      <c r="D2249" s="3" t="str">
        <f>IFERROR(__xludf.DUMMYFUNCTION("GOOGLETRANSLATE(A2249, ""en"", ""zh-CN"")"),"翅膀")</f>
        <v>翅膀</v>
      </c>
    </row>
    <row r="2250" ht="15.75" customHeight="1">
      <c r="A2250" s="3" t="s">
        <v>2276</v>
      </c>
      <c r="B2250" s="3" t="s">
        <v>8</v>
      </c>
      <c r="C2250" s="3" t="s">
        <v>9</v>
      </c>
      <c r="D2250" s="3" t="str">
        <f>IFERROR(__xludf.DUMMYFUNCTION("GOOGLETRANSLATE(A2250, ""en"", ""zh-CN"")"),"院子")</f>
        <v>院子</v>
      </c>
    </row>
    <row r="2251" ht="15.75" customHeight="1">
      <c r="A2251" s="3" t="s">
        <v>2277</v>
      </c>
      <c r="B2251" s="3" t="s">
        <v>146</v>
      </c>
      <c r="C2251" s="3" t="s">
        <v>16</v>
      </c>
      <c r="D2251" s="3" t="str">
        <f>IFERROR(__xludf.DUMMYFUNCTION("GOOGLETRANSLATE(A2251, ""en"", ""zh-CN"")"),"你的")</f>
        <v>你的</v>
      </c>
    </row>
    <row r="2252" ht="15.75" customHeight="1">
      <c r="A2252" s="3" t="s">
        <v>2278</v>
      </c>
      <c r="B2252" s="3" t="s">
        <v>15</v>
      </c>
      <c r="C2252" s="3" t="s">
        <v>6</v>
      </c>
      <c r="D2252" s="3" t="str">
        <f>IFERROR(__xludf.DUMMYFUNCTION("GOOGLETRANSLATE(A2252, ""en"", ""zh-CN"")"),"是的")</f>
        <v>是的</v>
      </c>
    </row>
    <row r="2253" ht="15.75" customHeight="1">
      <c r="A2253" s="3" t="s">
        <v>2279</v>
      </c>
      <c r="B2253" s="3" t="s">
        <v>146</v>
      </c>
      <c r="C2253" s="3" t="s">
        <v>6</v>
      </c>
      <c r="D2253" s="3" t="str">
        <f>IFERROR(__xludf.DUMMYFUNCTION("GOOGLETRANSLATE(A2253, ""en"", ""zh-CN"")"),"你自己")</f>
        <v>你自己</v>
      </c>
    </row>
    <row r="2254" ht="15.75" customHeight="1">
      <c r="A2254" s="3" t="s">
        <v>2280</v>
      </c>
      <c r="B2254" s="3" t="s">
        <v>8</v>
      </c>
      <c r="C2254" s="3" t="s">
        <v>6</v>
      </c>
      <c r="D2254" s="3" t="str">
        <f>IFERROR(__xludf.DUMMYFUNCTION("GOOGLETRANSLATE(A2254, ""en"", ""zh-CN"")"),"年")</f>
        <v>年</v>
      </c>
    </row>
    <row r="2255" ht="15.75" customHeight="1">
      <c r="A2255" s="3" t="s">
        <v>2281</v>
      </c>
      <c r="B2255" s="3" t="s">
        <v>146</v>
      </c>
      <c r="C2255" s="3" t="s">
        <v>6</v>
      </c>
      <c r="D2255" s="3" t="str">
        <f>IFERROR(__xludf.DUMMYFUNCTION("GOOGLETRANSLATE(A2255, ""en"", ""zh-CN"")"),"你")</f>
        <v>你</v>
      </c>
    </row>
    <row r="2256" ht="15.75" customHeight="1">
      <c r="A2256" s="3" t="s">
        <v>2282</v>
      </c>
      <c r="B2256" s="3" t="s">
        <v>8</v>
      </c>
      <c r="C2256" s="3" t="s">
        <v>9</v>
      </c>
      <c r="D2256" s="3" t="str">
        <f>IFERROR(__xludf.DUMMYFUNCTION("GOOGLETRANSLATE(A2256, ""en"", ""zh-CN"")"),"青年")</f>
        <v>青年</v>
      </c>
    </row>
    <row r="2257" ht="15.75" customHeight="1">
      <c r="A2257" s="3" t="s">
        <v>2283</v>
      </c>
      <c r="B2257" s="3" t="s">
        <v>15</v>
      </c>
      <c r="C2257" s="3" t="s">
        <v>6</v>
      </c>
      <c r="D2257" s="3" t="str">
        <f>IFERROR(__xludf.DUMMYFUNCTION("GOOGLETRANSLATE(A2257, ""en"", ""zh-CN"")"),"是的")</f>
        <v>是的</v>
      </c>
    </row>
    <row r="2258" ht="15.75" customHeight="1">
      <c r="A2258" s="3" t="s">
        <v>2284</v>
      </c>
      <c r="B2258" s="3" t="s">
        <v>783</v>
      </c>
      <c r="C2258" s="3" t="s">
        <v>6</v>
      </c>
      <c r="D2258" s="3" t="str">
        <f>IFERROR(__xludf.DUMMYFUNCTION("GOOGLETRANSLATE(A2258, ""en"", ""zh-CN"")"),"你的")</f>
        <v>你的</v>
      </c>
    </row>
    <row r="2259" ht="15.75" customHeight="1">
      <c r="A2259" s="3" t="s">
        <v>2285</v>
      </c>
      <c r="B2259" s="3" t="s">
        <v>227</v>
      </c>
      <c r="C2259" s="3" t="s">
        <v>16</v>
      </c>
      <c r="D2259" s="3" t="str">
        <f>IFERROR(__xludf.DUMMYFUNCTION("GOOGLETRANSLATE(A2259, ""en"", ""zh-CN"")"),"零")</f>
        <v>零</v>
      </c>
    </row>
    <row r="2260" ht="15.75" customHeight="1">
      <c r="A2260" s="3" t="s">
        <v>2286</v>
      </c>
      <c r="B2260" s="3" t="s">
        <v>8</v>
      </c>
      <c r="C2260" s="3" t="s">
        <v>13</v>
      </c>
      <c r="D2260" s="3" t="str">
        <f>IFERROR(__xludf.DUMMYFUNCTION("GOOGLETRANSLATE(A2260, ""en"", ""zh-CN"")"),"区")</f>
        <v>区</v>
      </c>
    </row>
  </sheetData>
  <printOptions/>
  <pageMargins bottom="0.75" footer="0.0" header="0.0" left="0.7" right="0.7" top="0.75"/>
  <pageSetup orientation="landscape"/>
  <drawing r:id="rId1"/>
</worksheet>
</file>